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Julie Smith\Anchor Sync\Julie Smith\Replibit\"/>
    </mc:Choice>
  </mc:AlternateContent>
  <xr:revisionPtr revIDLastSave="0" documentId="8_{F701049B-F433-4B7D-BE53-875F493ED274}" xr6:coauthVersionLast="34" xr6:coauthVersionMax="34" xr10:uidLastSave="{00000000-0000-0000-0000-000000000000}"/>
  <bookViews>
    <workbookView xWindow="0" yWindow="0" windowWidth="28800" windowHeight="11895" xr2:uid="{00000000-000D-0000-FFFF-FFFF00000000}"/>
  </bookViews>
  <sheets>
    <sheet name="Terms of Use" sheetId="3" r:id="rId1"/>
    <sheet name="Usage" sheetId="4" r:id="rId2"/>
    <sheet name="BDR Sizing Workbook" sheetId="1" r:id="rId3"/>
    <sheet name="Best Practice" sheetId="6" r:id="rId4"/>
    <sheet name="Parameters" sheetId="2" state="hidden" r:id="rId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 i="1" l="1"/>
  <c r="D26" i="1" s="1"/>
  <c r="C26" i="1"/>
  <c r="C24" i="1"/>
  <c r="C13" i="1"/>
  <c r="C16" i="2" l="1"/>
  <c r="C17" i="2"/>
  <c r="C14" i="1"/>
  <c r="B10" i="2" l="1"/>
  <c r="B11" i="2"/>
  <c r="U22" i="2"/>
  <c r="P11" i="2" s="1"/>
  <c r="B14" i="2"/>
  <c r="C7" i="2"/>
  <c r="C6" i="2" s="1"/>
  <c r="B7" i="2"/>
  <c r="B6" i="2" s="1"/>
  <c r="F26" i="1"/>
  <c r="F24" i="1"/>
  <c r="E24" i="1"/>
  <c r="D28" i="1"/>
  <c r="C28" i="1"/>
  <c r="B24" i="1" l="1"/>
  <c r="A24" i="1"/>
  <c r="B9" i="2" s="1"/>
  <c r="P20" i="2" s="1"/>
  <c r="P21" i="2" s="1"/>
  <c r="U23" i="2"/>
  <c r="Q21" i="2" l="1"/>
  <c r="U24" i="2"/>
  <c r="U26" i="2" s="1"/>
  <c r="P14" i="2" s="1"/>
  <c r="P12" i="2" s="1"/>
  <c r="D33" i="1" s="1"/>
  <c r="C15" i="1"/>
  <c r="Q20" i="2"/>
  <c r="P22" i="2" l="1"/>
  <c r="P23" i="2" s="1"/>
  <c r="P4" i="2"/>
  <c r="P13" i="2"/>
  <c r="C33" i="1" s="1"/>
  <c r="U25" i="2"/>
  <c r="Q7" i="2" s="1"/>
  <c r="P5" i="2"/>
  <c r="Q5" i="2"/>
  <c r="B33" i="1"/>
  <c r="Q4" i="2"/>
  <c r="R4" i="2" l="1"/>
  <c r="F33" i="1" s="1"/>
  <c r="Q22" i="2"/>
  <c r="R5" i="2"/>
  <c r="G33" i="1" s="1"/>
  <c r="P15" i="2"/>
  <c r="E33" i="1" s="1"/>
  <c r="U27" i="2"/>
  <c r="Q14" i="2" s="1"/>
  <c r="Q12" i="2" s="1"/>
  <c r="D34" i="1" s="1"/>
  <c r="Q13" i="2"/>
  <c r="C34" i="1" s="1"/>
  <c r="B34" i="1"/>
  <c r="Q8" i="2"/>
  <c r="P8" i="2"/>
  <c r="P7" i="2"/>
  <c r="R7" i="2" s="1"/>
  <c r="F34" i="1" s="1"/>
  <c r="Q23" i="2"/>
  <c r="P24" i="2"/>
  <c r="R8" i="2" l="1"/>
  <c r="G34" i="1" s="1"/>
  <c r="Q15" i="2"/>
  <c r="E34" i="1" s="1"/>
  <c r="Q24" i="2"/>
  <c r="P25" i="2"/>
  <c r="P26" i="2" l="1"/>
  <c r="P27" i="2" s="1"/>
  <c r="P28" i="2" s="1"/>
  <c r="P29" i="2" s="1"/>
  <c r="Q25" i="2"/>
  <c r="P31" i="2" l="1"/>
  <c r="Q29" i="2"/>
  <c r="P30" i="2"/>
  <c r="Q26" i="2"/>
  <c r="Q27" i="2"/>
  <c r="B16" i="2" l="1"/>
  <c r="P36" i="2"/>
  <c r="B14" i="1" s="1"/>
  <c r="C10" i="1"/>
  <c r="Q30" i="2"/>
  <c r="B10" i="1" s="1"/>
  <c r="B17" i="2"/>
  <c r="P34" i="2"/>
  <c r="B13" i="1" s="1"/>
  <c r="Q32" i="2"/>
  <c r="B17" i="1" s="1"/>
  <c r="P32" i="2"/>
  <c r="B16" i="1" s="1"/>
  <c r="Q33" i="2"/>
  <c r="B12" i="1" s="1"/>
  <c r="G26" i="1" s="1"/>
  <c r="P33" i="2"/>
  <c r="B11" i="1" s="1"/>
  <c r="G24" i="1" s="1"/>
  <c r="P35" i="2"/>
  <c r="B15" i="1" s="1"/>
  <c r="Q28" i="2"/>
</calcChain>
</file>

<file path=xl/sharedStrings.xml><?xml version="1.0" encoding="utf-8"?>
<sst xmlns="http://schemas.openxmlformats.org/spreadsheetml/2006/main" count="272" uniqueCount="229">
  <si>
    <t>eFolder Replibit BDR Appliance Sizing and Pricing Workbook</t>
  </si>
  <si>
    <t>Customer Name</t>
  </si>
  <si>
    <t>Protected Servers</t>
  </si>
  <si>
    <t>Protected Workstations</t>
  </si>
  <si>
    <t>My Customer</t>
  </si>
  <si>
    <t>Storage Change Rate</t>
  </si>
  <si>
    <t>On-Prem Retention (Months)</t>
  </si>
  <si>
    <t>Cloud Retention (Months)</t>
  </si>
  <si>
    <t>Low</t>
  </si>
  <si>
    <t>Average</t>
  </si>
  <si>
    <t>High</t>
  </si>
  <si>
    <t>Selected</t>
  </si>
  <si>
    <t>Index</t>
  </si>
  <si>
    <t>Data Compressibility</t>
  </si>
  <si>
    <t>Storage</t>
  </si>
  <si>
    <t>Change</t>
  </si>
  <si>
    <t>Compress</t>
  </si>
  <si>
    <t>Max TB</t>
  </si>
  <si>
    <t>RAM</t>
  </si>
  <si>
    <t>Rack-18000</t>
  </si>
  <si>
    <t>Mini-2000</t>
  </si>
  <si>
    <t>Mini-1000</t>
  </si>
  <si>
    <t>IOPS</t>
  </si>
  <si>
    <t>Read IOPS</t>
  </si>
  <si>
    <t>Write IOPS</t>
  </si>
  <si>
    <t>Common Disk Sizes</t>
  </si>
  <si>
    <t>SSD</t>
  </si>
  <si>
    <t>HDD</t>
  </si>
  <si>
    <t>RAID Sets</t>
  </si>
  <si>
    <t>SSD Read</t>
  </si>
  <si>
    <t>SSD Write</t>
  </si>
  <si>
    <t>HDD Read</t>
  </si>
  <si>
    <t>HDD Write</t>
  </si>
  <si>
    <t>Drive Type</t>
  </si>
  <si>
    <t>Drive Types</t>
  </si>
  <si>
    <t>Required</t>
  </si>
  <si>
    <t>Pool Size</t>
  </si>
  <si>
    <t>Max Size</t>
  </si>
  <si>
    <t>SSD Max</t>
  </si>
  <si>
    <t>HDD Max</t>
  </si>
  <si>
    <t>Estimated IOPS</t>
  </si>
  <si>
    <t>Read</t>
  </si>
  <si>
    <t>Write</t>
  </si>
  <si>
    <t>SDD</t>
  </si>
  <si>
    <t>Type</t>
  </si>
  <si>
    <t>Size</t>
  </si>
  <si>
    <t>Quantity</t>
  </si>
  <si>
    <t>Hard Drive Info</t>
  </si>
  <si>
    <t>Size Needed</t>
  </si>
  <si>
    <t>RAM Size</t>
  </si>
  <si>
    <t>Performance</t>
  </si>
  <si>
    <t>Std</t>
  </si>
  <si>
    <t>Perf</t>
  </si>
  <si>
    <t>Yes</t>
  </si>
  <si>
    <t>No</t>
  </si>
  <si>
    <t>Physical CPU Cores</t>
  </si>
  <si>
    <t>Boot Drive</t>
  </si>
  <si>
    <t>Storage Pool (Standard Config)</t>
  </si>
  <si>
    <t>Storage Pool (Performance Config)</t>
  </si>
  <si>
    <t>Total Disk Count</t>
  </si>
  <si>
    <t>NA</t>
  </si>
  <si>
    <t>Disk Size</t>
  </si>
  <si>
    <t>Pool</t>
  </si>
  <si>
    <t>Est Read IOPS</t>
  </si>
  <si>
    <t>Est Write IOPS</t>
  </si>
  <si>
    <t>Self Vault</t>
  </si>
  <si>
    <t>eFolder Vault</t>
  </si>
  <si>
    <t>eFolder BDR Appliance Sizing Calculator</t>
  </si>
  <si>
    <t>Monthly (3-Year Unlimited Cloud)</t>
  </si>
  <si>
    <t>Monthly (10-Year Unlimited Cloud)</t>
  </si>
  <si>
    <t>CPU</t>
  </si>
  <si>
    <t>BDR Appliance (3Y Unlimited)</t>
  </si>
  <si>
    <t>BDR Appliance (10Y Unlimited)</t>
  </si>
  <si>
    <t>Licensing (Monthly)</t>
  </si>
  <si>
    <t>eFolder Replibit BDR Appliance Sizing and Pricing Worksheet</t>
  </si>
  <si>
    <t>Terms of Use</t>
  </si>
  <si>
    <t>This workbook is intended as a general purpose Sizing and Pricing Guide for the purposes of building</t>
  </si>
  <si>
    <t>your own BDR Appliance based on eFolder Replibit, or deploying a pre-built eFolder Replibit BDR</t>
  </si>
  <si>
    <t>Appliance provides by eFolder Inc.  The sizing and pricing data presented in this sheet is based on our</t>
  </si>
  <si>
    <t>best effort to provide a reasonable estimate of data usage over time for our average customer base.</t>
  </si>
  <si>
    <t>DATA USAGE CALCULATIONS PRESENTED IN THIS SPREADSHEET ARE ONLY ESTIMATED AVERAGES</t>
  </si>
  <si>
    <t>Actual data usage on any BDR Appliance will vary from customer to customer and may be wildly</t>
  </si>
  <si>
    <t>different from the estimated values presented by this workbook.  All calculations present by this workbook</t>
  </si>
  <si>
    <t>and as a guide to configuring hardware storage, memory, and CPU resources based on Best Practices.</t>
  </si>
  <si>
    <t>EFOLDER MAKES NO PROMISES OR GUARANTEES OF ANY KIND AS TO THE ACCURACY, RELIABILITY,</t>
  </si>
  <si>
    <t>USEFULNESS, OR DEPENDABILITY OF THE CALCULATIONS PRESENTED IN THIS WORKBOOK.  ALL USE OF</t>
  </si>
  <si>
    <t>ANY INFORMATION PRESENTED WITHIN THIS WORKBOOK IS SOLELY AT THE DISCRETION OF THE USER.</t>
  </si>
  <si>
    <t>USE AT YOUR OWN RISK</t>
  </si>
  <si>
    <t>Usage:</t>
  </si>
  <si>
    <t>Fill in the colums in row 3</t>
  </si>
  <si>
    <t>Enter the total number of protected Servers and Workstations</t>
  </si>
  <si>
    <t>Enter the total Disk in Use value for all protected systems in GigaBytes</t>
  </si>
  <si>
    <t>Enter the total Disk size for all protected systems</t>
  </si>
  <si>
    <t>Enter the total RAM and CPU core count (not counting Hyperthreading)</t>
  </si>
  <si>
    <t>Select your preferences in Row 6</t>
  </si>
  <si>
    <t>Select a rate of change for your storage (Average Recommended)</t>
  </si>
  <si>
    <t>Select the relative compressability of your total data (Typically Average is a good choice)</t>
  </si>
  <si>
    <t>Enter the months of retention, Locally and in the Cloud, that you would like to achieve</t>
  </si>
  <si>
    <t>Select whether you intend to virtualize servers locally on the Appliance in a disaster</t>
  </si>
  <si>
    <t>Results:</t>
  </si>
  <si>
    <t>The eFolder BDR Appliance Sizing Calculator estimates the best pre-built Appliance</t>
  </si>
  <si>
    <t>to match the criteria you have provided</t>
  </si>
  <si>
    <t>Build-Your-Own BDR Appliance Calculator</t>
  </si>
  <si>
    <t>The Build-You-Own BDR  Appliance Calculator provides a set of hardware specifications</t>
  </si>
  <si>
    <t>that you may use to create your own custom platform to meet your criteria</t>
  </si>
  <si>
    <t xml:space="preserve">THIS TOOL IS NOT TO BE CONSIDERED AUTHORTATIVE, AND THERE IS NO GUARANTEE OF </t>
  </si>
  <si>
    <t>ACCURACY FOR ANY CALCULATION PROVIDED BY THIS SPREADSHEET.  ALL USE OF THIS</t>
  </si>
  <si>
    <t>UTILITY IS AT THE SOLE DISCRETION OF THE USER.  USE AT YOUR OWN RISK.</t>
  </si>
  <si>
    <t>Hardware Tested and Supported by eFolder</t>
  </si>
  <si>
    <t>Listed pricing includes replication of all protected systems to the Cloud (Your own or eFolder)</t>
  </si>
  <si>
    <t>Pro and Rack Models are Storage Expandable</t>
  </si>
  <si>
    <t>On-Prem Storage (Est.)</t>
  </si>
  <si>
    <t>Cloud Storage (Est.)</t>
  </si>
  <si>
    <t>eFolder BDR Advantages:</t>
  </si>
  <si>
    <t>Responses</t>
  </si>
  <si>
    <t>Notes:</t>
  </si>
  <si>
    <t>RAM and CPU requirements are based on Replibit Best Practices Guide</t>
  </si>
  <si>
    <t>Disk Sets are based on 4-Disk RAID-5 sets.  Multiple sets are striped (RAID-50)</t>
  </si>
  <si>
    <r>
      <t xml:space="preserve">If using standard HDD disks, the </t>
    </r>
    <r>
      <rPr>
        <b/>
        <sz val="12"/>
        <color theme="1"/>
        <rFont val="Avenir LT Std 65 Medium"/>
        <family val="2"/>
      </rPr>
      <t>Performance</t>
    </r>
    <r>
      <rPr>
        <sz val="12"/>
        <color theme="1"/>
        <rFont val="Avenir LT Std 65 Medium"/>
        <family val="2"/>
      </rPr>
      <t xml:space="preserve"> configuration is recommended for better IOPS</t>
    </r>
  </si>
  <si>
    <t>eFolder BDR unit selection is based on required RAM and Storage (Whichever is greater)</t>
  </si>
  <si>
    <t>SSD Appliances by Storage</t>
  </si>
  <si>
    <t>Raid Sets</t>
  </si>
  <si>
    <t>NextCPU</t>
  </si>
  <si>
    <t>NextRAM</t>
  </si>
  <si>
    <t>MO-3Y</t>
  </si>
  <si>
    <t>MO-10Y</t>
  </si>
  <si>
    <t>Rack-Hybrid-36000</t>
  </si>
  <si>
    <t>Rack-Hybrid-30000</t>
  </si>
  <si>
    <t>Rack-Hybrid-24000</t>
  </si>
  <si>
    <t>Rack-Hybrid-18000</t>
  </si>
  <si>
    <t>Pro-15000</t>
  </si>
  <si>
    <t>Rack-15000</t>
  </si>
  <si>
    <t>Rack-Hybrid-12000</t>
  </si>
  <si>
    <t>Pro-12000</t>
  </si>
  <si>
    <t>Rack-12000</t>
  </si>
  <si>
    <t>Pro-9000</t>
  </si>
  <si>
    <t>Rack-9000</t>
  </si>
  <si>
    <t>Rack-Hybrid-6000</t>
  </si>
  <si>
    <t>Pro-6000</t>
  </si>
  <si>
    <t>Rack-6000</t>
  </si>
  <si>
    <t>Mini-4000</t>
  </si>
  <si>
    <t>Pro-3000</t>
  </si>
  <si>
    <t>Rack-3000</t>
  </si>
  <si>
    <t>Nano-1000</t>
  </si>
  <si>
    <t>Nano-500</t>
  </si>
  <si>
    <t>Storage Selection</t>
  </si>
  <si>
    <t>Ram</t>
  </si>
  <si>
    <t>RAM-Selection</t>
  </si>
  <si>
    <t>Final Selection</t>
  </si>
  <si>
    <t>Basis</t>
  </si>
  <si>
    <t>IOP R/W</t>
  </si>
  <si>
    <t>Cost 3Y/10Y</t>
  </si>
  <si>
    <t>RAM Avail</t>
  </si>
  <si>
    <t>Storage Avail</t>
  </si>
  <si>
    <t>CPU Avail</t>
  </si>
  <si>
    <t>Entry</t>
  </si>
  <si>
    <t>Based on Storage Required</t>
  </si>
  <si>
    <t>Based on RAM Required</t>
  </si>
  <si>
    <t>Minimum BDR Appliance</t>
  </si>
  <si>
    <t>Too Many Servers Virtualized</t>
  </si>
  <si>
    <t>Minimum CPU</t>
  </si>
  <si>
    <t>Model Types</t>
  </si>
  <si>
    <t>Hybrid</t>
  </si>
  <si>
    <t>Nano2000</t>
  </si>
  <si>
    <t>Virtualized Systems</t>
  </si>
  <si>
    <t>Results</t>
  </si>
  <si>
    <t>Selection Method</t>
  </si>
  <si>
    <t>Optimum RAM</t>
  </si>
  <si>
    <t>Recommended RAM</t>
  </si>
  <si>
    <t>SSD Models - Superior Performance / Hybrid Models - Compelling Price</t>
  </si>
  <si>
    <t>Total Disk In Use (GB)</t>
  </si>
  <si>
    <t>Disk Model Preference</t>
  </si>
  <si>
    <t>Virtualize for DR?</t>
  </si>
  <si>
    <t># of 4-Disk Raid-5 Sets</t>
  </si>
  <si>
    <t>Items in BLUE affect the selections below / Items in Gray are for Reference Only and do NOT affect selections below</t>
  </si>
  <si>
    <t>3 Year Warranty Standard / 4 Year and 5 Year Optional Warranty Upgrades (Available at time of purchase ONLY)</t>
  </si>
  <si>
    <t>Pro and Rack Models include 10GB Ethernet and onboard IPMI</t>
  </si>
  <si>
    <t>Nano Models offer Price and Performance but have no Data Redundancy (Single Disk)</t>
  </si>
  <si>
    <t>Durabit Protection for Enhanced Data Integrity and Reliability (Mini, Pro, and Rack Only)</t>
  </si>
  <si>
    <t>Build-Your Own BDR Hard Drive Calculator</t>
  </si>
  <si>
    <r>
      <rPr>
        <b/>
        <sz val="11"/>
        <color theme="1"/>
        <rFont val="Calibri"/>
        <family val="2"/>
        <scheme val="minor"/>
      </rPr>
      <t>Performance</t>
    </r>
    <r>
      <rPr>
        <sz val="11"/>
        <color theme="1"/>
        <rFont val="Calibri"/>
        <family val="2"/>
        <scheme val="minor"/>
      </rPr>
      <t xml:space="preserve"> configuration adds and additional RAID set and calculated disk size based on larger number of drives</t>
    </r>
  </si>
  <si>
    <t>Retention estimates are based on the classic Basic mode.  Using Custom retention will utilize less space</t>
  </si>
  <si>
    <t>All CALCULATIONS ARE PROVIDING AN ESTIMATE ONLY!</t>
  </si>
  <si>
    <t>should be considered an educated guess and used only to gauge relative storage consumption and retention,</t>
  </si>
  <si>
    <t>MaxVirtual</t>
  </si>
  <si>
    <t>MaxEndPoints</t>
  </si>
  <si>
    <t>Too Many Protected End-Points</t>
  </si>
  <si>
    <t>Next Virtual</t>
  </si>
  <si>
    <t>NextEP</t>
  </si>
  <si>
    <t>Max Virt / Virtualized</t>
  </si>
  <si>
    <t>Max EP / End-Points</t>
  </si>
  <si>
    <t>Based on Virtualized Systems</t>
  </si>
  <si>
    <t>Based on End-Point Count</t>
  </si>
  <si>
    <t>Product Family</t>
  </si>
  <si>
    <t>When to use</t>
  </si>
  <si>
    <t>Sub-Family</t>
  </si>
  <si>
    <t>Protected End-Points**</t>
  </si>
  <si>
    <t>Virtualization</t>
  </si>
  <si>
    <t>Nano</t>
  </si>
  <si>
    <t>Price-sensitive customers; few end-points OR low total storage needs; non-application servers or low-resource environments (e.g. DC's, file servers, other low transaction enviroments)</t>
  </si>
  <si>
    <t>Nano500</t>
  </si>
  <si>
    <t>Nano1000</t>
  </si>
  <si>
    <t>Limited*</t>
  </si>
  <si>
    <t>Mini</t>
  </si>
  <si>
    <t>Higher-availability and higher-performance customers; virtualization capacity needed; all-flash environment provides greater I/O performance for read/write intensive applications or environment; additional data protection (disk redundancy)</t>
  </si>
  <si>
    <t>Mini1000</t>
  </si>
  <si>
    <r>
      <t xml:space="preserve">1 - high I/O </t>
    </r>
    <r>
      <rPr>
        <u/>
        <sz val="11"/>
        <color theme="1"/>
        <rFont val="Calibri"/>
        <family val="2"/>
      </rPr>
      <t>OR</t>
    </r>
    <r>
      <rPr>
        <sz val="11"/>
        <color theme="1"/>
        <rFont val="Calibri"/>
        <family val="2"/>
      </rPr>
      <t xml:space="preserve"> 3 low I/O</t>
    </r>
  </si>
  <si>
    <t>Mini2000</t>
  </si>
  <si>
    <t>Mini4000</t>
  </si>
  <si>
    <t>Pro</t>
  </si>
  <si>
    <t>Lights-out administration; higher virtualization capacity and performance; expandable storage capacity</t>
  </si>
  <si>
    <t>Pro 3000 to 15000</t>
  </si>
  <si>
    <t>Unlimited</t>
  </si>
  <si>
    <t>Multiple - RAM bound</t>
  </si>
  <si>
    <t>Rack</t>
  </si>
  <si>
    <t>Lights-out administration; higher virtualization capacity and performance; expandable storage capacity; rack form-factor required;</t>
  </si>
  <si>
    <t>Rack 3000 to 18000</t>
  </si>
  <si>
    <t>Rack Hybrid</t>
  </si>
  <si>
    <t>Lights-out administration; virtualization capacity needed; expandable storage capacity; rack form-factor required; lower cost storage for price-sensitive customers;</t>
  </si>
  <si>
    <t>Rack 6000 to 36000 Hybrid</t>
  </si>
  <si>
    <t>* Every environment and end-point is unique.  It is the responsibility of the partner to test the recovery, virtualization, and performance of every protected end-point and to ascertain the applicability of the hardware to each customer's use case.  It is the responsiblity of the partner to test and validate the configurations during the 30-day money back guarantee window.  Any sales not returned during the 30-day money back window are final.  These guidelines are recommended configurations and while other configurations or loads may be feasbile, they are not supported by eFolder and are taken at the personal risk of the partner.</t>
  </si>
  <si>
    <t>** Backup schedules must be configured appropriately.</t>
  </si>
  <si>
    <t>Recommended Resources</t>
  </si>
  <si>
    <t>Physical RAM in Use</t>
  </si>
  <si>
    <t>Physical CPU Cores in Use</t>
  </si>
  <si>
    <t>Virtual CPU Cores</t>
  </si>
  <si>
    <t>Total Server CPU Cores in Use</t>
  </si>
  <si>
    <t>Total Server RAM in Use</t>
  </si>
  <si>
    <t>Total Disk Size in Use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</si>
</sst>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t;999999]0.0,,&quot; PB&quot;;[&gt;999]0.0,&quot; TB&quot;;0&quot; GB&quot;"/>
    <numFmt numFmtId="165" formatCode="[&gt;999]0.0,&quot; PB&quot;;0&quot; TB&quot;"/>
    <numFmt numFmtId="166" formatCode="[&gt;999999]0.0,,&quot; XB&quot;;[&gt;999]0.0,&quot; PB&quot;;0&quot; TB&quot;"/>
    <numFmt numFmtId="167" formatCode="&quot;$&quot;#,##0.00"/>
    <numFmt numFmtId="168" formatCode="0&quot; Cores&quot;"/>
    <numFmt numFmtId="169" formatCode="[&gt;999]0.0,&quot; PB&quot;;0.0&quot; TB&quot;"/>
    <numFmt numFmtId="170" formatCode="0&quot; Months&quot;"/>
    <numFmt numFmtId="171" formatCode="[&gt;999]0.00,&quot; PB&quot;;0.00&quot; TB&quot;"/>
    <numFmt numFmtId="172" formatCode="0&quot; Virtual Cores&quot;"/>
  </numFmts>
  <fonts count="29">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b/>
      <u/>
      <sz val="11"/>
      <color theme="1"/>
      <name val="Calibri"/>
      <family val="2"/>
      <scheme val="minor"/>
    </font>
    <font>
      <sz val="11"/>
      <color rgb="FFFF3C1F"/>
      <name val="Calibri"/>
      <family val="2"/>
      <scheme val="minor"/>
    </font>
    <font>
      <sz val="11"/>
      <color theme="1"/>
      <name val="Avenir LT Std 35 Light"/>
      <family val="2"/>
    </font>
    <font>
      <sz val="20"/>
      <color rgb="FFFF3C1F"/>
      <name val="Avenir LT Std 65 Medium"/>
      <family val="2"/>
    </font>
    <font>
      <b/>
      <sz val="16"/>
      <color rgb="FFFF3C1F"/>
      <name val="Avenir LT Std 65 Medium"/>
      <family val="2"/>
    </font>
    <font>
      <b/>
      <sz val="16"/>
      <color theme="5" tint="-0.249977111117893"/>
      <name val="Avenir LT Std 65 Medium"/>
      <family val="2"/>
    </font>
    <font>
      <sz val="10"/>
      <color theme="1"/>
      <name val="Avenir LT Std 35 Light"/>
      <family val="2"/>
    </font>
    <font>
      <sz val="24"/>
      <color theme="0"/>
      <name val="Calibri"/>
      <family val="2"/>
      <scheme val="minor"/>
    </font>
    <font>
      <sz val="20"/>
      <color theme="0"/>
      <name val="Calibri"/>
      <family val="2"/>
      <scheme val="minor"/>
    </font>
    <font>
      <b/>
      <u/>
      <sz val="12"/>
      <color theme="1"/>
      <name val="Calibri"/>
      <family val="2"/>
      <scheme val="minor"/>
    </font>
    <font>
      <b/>
      <sz val="12"/>
      <color theme="1"/>
      <name val="Avenir LT Std 65 Medium"/>
      <family val="2"/>
    </font>
    <font>
      <sz val="12"/>
      <color theme="0"/>
      <name val="Avenir LT Std 65 Medium"/>
      <family val="2"/>
    </font>
    <font>
      <b/>
      <u/>
      <sz val="12"/>
      <color theme="1"/>
      <name val="Avenir LT Std 65 Medium"/>
      <family val="2"/>
    </font>
    <font>
      <sz val="12"/>
      <color theme="1"/>
      <name val="Avenir LT Std 65 Medium"/>
      <family val="2"/>
    </font>
    <font>
      <b/>
      <sz val="12"/>
      <color theme="1"/>
      <name val="Avenir LT Std 35 Light"/>
      <family val="2"/>
    </font>
    <font>
      <b/>
      <sz val="12"/>
      <color rgb="FFC00000"/>
      <name val="Avenir LT Std 65 Medium"/>
      <family val="2"/>
    </font>
    <font>
      <b/>
      <sz val="11"/>
      <color theme="0"/>
      <name val="Avenir LT Std 35 Light"/>
      <family val="2"/>
    </font>
    <font>
      <b/>
      <u/>
      <sz val="11"/>
      <color theme="1"/>
      <name val="Avenir LT Std 35 Light"/>
      <family val="2"/>
    </font>
    <font>
      <b/>
      <sz val="12"/>
      <color theme="0"/>
      <name val="Avenir LT Std 65 Medium"/>
      <family val="2"/>
    </font>
    <font>
      <sz val="11"/>
      <color theme="0"/>
      <name val="Avenir LT Std 35 Light"/>
      <family val="2"/>
    </font>
    <font>
      <sz val="11"/>
      <color theme="1"/>
      <name val="Calibri"/>
      <family val="2"/>
    </font>
    <font>
      <u/>
      <sz val="11"/>
      <color theme="1"/>
      <name val="Calibri"/>
      <family val="2"/>
    </font>
    <font>
      <sz val="12"/>
      <color theme="1"/>
      <name val="Calibri"/>
      <family val="2"/>
      <scheme val="minor"/>
    </font>
  </fonts>
  <fills count="12">
    <fill>
      <patternFill patternType="none"/>
    </fill>
    <fill>
      <patternFill patternType="gray125"/>
    </fill>
    <fill>
      <patternFill patternType="solid">
        <fgColor rgb="FFF2F2F2"/>
      </patternFill>
    </fill>
    <fill>
      <patternFill patternType="solid">
        <fgColor rgb="FFFFFFCC"/>
      </patternFill>
    </fill>
    <fill>
      <patternFill patternType="solid">
        <fgColor rgb="FFFFEB9C"/>
      </patternFill>
    </fill>
    <fill>
      <patternFill patternType="solid">
        <fgColor theme="6" tint="0.39997558519241921"/>
        <bgColor indexed="65"/>
      </patternFill>
    </fill>
    <fill>
      <patternFill patternType="solid">
        <fgColor rgb="FF69A3B9"/>
        <bgColor indexed="64"/>
      </patternFill>
    </fill>
    <fill>
      <patternFill patternType="solid">
        <fgColor theme="0"/>
        <bgColor indexed="64"/>
      </patternFill>
    </fill>
    <fill>
      <patternFill patternType="solid">
        <fgColor rgb="FFFF6D10"/>
        <bgColor indexed="64"/>
      </patternFill>
    </fill>
    <fill>
      <patternFill patternType="solid">
        <fgColor theme="5"/>
        <bgColor indexed="64"/>
      </patternFill>
    </fill>
    <fill>
      <patternFill patternType="solid">
        <fgColor theme="4"/>
        <bgColor indexed="64"/>
      </patternFill>
    </fill>
    <fill>
      <patternFill patternType="solid">
        <fgColor theme="3" tint="-0.249977111117893"/>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6">
    <xf numFmtId="0" fontId="0" fillId="0" borderId="0"/>
    <xf numFmtId="0" fontId="2" fillId="2" borderId="1" applyNumberFormat="0" applyAlignment="0" applyProtection="0"/>
    <xf numFmtId="0" fontId="1" fillId="3" borderId="2" applyNumberFormat="0" applyFont="0" applyAlignment="0" applyProtection="0"/>
    <xf numFmtId="0" fontId="4" fillId="4" borderId="0" applyNumberFormat="0" applyBorder="0" applyAlignment="0" applyProtection="0"/>
    <xf numFmtId="0" fontId="5" fillId="5" borderId="0" applyNumberFormat="0" applyBorder="0" applyAlignment="0" applyProtection="0"/>
    <xf numFmtId="0" fontId="28" fillId="0" borderId="0"/>
  </cellStyleXfs>
  <cellXfs count="159">
    <xf numFmtId="0" fontId="0" fillId="0" borderId="0" xfId="0"/>
    <xf numFmtId="0" fontId="0" fillId="3" borderId="3" xfId="2" applyFont="1" applyBorder="1"/>
    <xf numFmtId="0" fontId="0" fillId="0" borderId="3" xfId="0" applyBorder="1"/>
    <xf numFmtId="0" fontId="0" fillId="0" borderId="0" xfId="0" applyBorder="1"/>
    <xf numFmtId="0" fontId="3" fillId="3" borderId="3" xfId="2" applyFont="1" applyBorder="1"/>
    <xf numFmtId="0" fontId="1" fillId="3" borderId="3" xfId="2" applyFont="1" applyBorder="1"/>
    <xf numFmtId="0" fontId="2" fillId="2" borderId="3" xfId="1" applyBorder="1"/>
    <xf numFmtId="165" fontId="0" fillId="0" borderId="3" xfId="0" applyNumberFormat="1" applyBorder="1"/>
    <xf numFmtId="2" fontId="0" fillId="0" borderId="3" xfId="0" applyNumberFormat="1" applyBorder="1"/>
    <xf numFmtId="2" fontId="2" fillId="2" borderId="3" xfId="1" applyNumberFormat="1" applyBorder="1"/>
    <xf numFmtId="165" fontId="2" fillId="2" borderId="3" xfId="1" applyNumberFormat="1" applyBorder="1"/>
    <xf numFmtId="164" fontId="0" fillId="0" borderId="3" xfId="0" applyNumberFormat="1" applyBorder="1"/>
    <xf numFmtId="164" fontId="0" fillId="0" borderId="3" xfId="0" applyNumberFormat="1" applyFill="1" applyBorder="1"/>
    <xf numFmtId="0" fontId="0" fillId="3" borderId="4" xfId="2" applyFont="1" applyBorder="1"/>
    <xf numFmtId="0" fontId="2" fillId="2" borderId="4" xfId="1" applyBorder="1"/>
    <xf numFmtId="164" fontId="2" fillId="2" borderId="3" xfId="1" applyNumberFormat="1" applyBorder="1"/>
    <xf numFmtId="0" fontId="0" fillId="3" borderId="8" xfId="2" applyFont="1" applyBorder="1"/>
    <xf numFmtId="0" fontId="6" fillId="3" borderId="3" xfId="2" applyFont="1" applyBorder="1" applyAlignment="1">
      <alignment horizontal="center"/>
    </xf>
    <xf numFmtId="167" fontId="0" fillId="0" borderId="3" xfId="0" applyNumberFormat="1" applyBorder="1"/>
    <xf numFmtId="0" fontId="0" fillId="0" borderId="3" xfId="0" applyFill="1" applyBorder="1"/>
    <xf numFmtId="0" fontId="7" fillId="0" borderId="0" xfId="0" applyFont="1"/>
    <xf numFmtId="0" fontId="8" fillId="0" borderId="0" xfId="0" applyFont="1"/>
    <xf numFmtId="0" fontId="12" fillId="0" borderId="0" xfId="0" applyFont="1"/>
    <xf numFmtId="0" fontId="3" fillId="8" borderId="7" xfId="3" applyFont="1" applyFill="1" applyBorder="1" applyAlignment="1">
      <alignment horizontal="left"/>
    </xf>
    <xf numFmtId="0" fontId="3" fillId="8" borderId="0" xfId="3" applyFont="1" applyFill="1" applyBorder="1" applyAlignment="1">
      <alignment horizontal="left"/>
    </xf>
    <xf numFmtId="0" fontId="3" fillId="8" borderId="13" xfId="3" applyFont="1" applyFill="1" applyBorder="1" applyAlignment="1">
      <alignment horizontal="left"/>
    </xf>
    <xf numFmtId="0" fontId="16" fillId="8" borderId="3" xfId="2" applyFont="1" applyFill="1" applyBorder="1"/>
    <xf numFmtId="0" fontId="16" fillId="8" borderId="3" xfId="2" applyFont="1" applyFill="1" applyBorder="1" applyAlignment="1">
      <alignment horizontal="right"/>
    </xf>
    <xf numFmtId="0" fontId="18" fillId="0" borderId="0" xfId="0" applyFont="1"/>
    <xf numFmtId="0" fontId="16" fillId="8" borderId="8" xfId="2" applyFont="1" applyFill="1" applyBorder="1" applyAlignment="1">
      <alignment horizontal="right"/>
    </xf>
    <xf numFmtId="0" fontId="16" fillId="8" borderId="4" xfId="2" applyFont="1" applyFill="1" applyBorder="1" applyAlignment="1">
      <alignment horizontal="right"/>
    </xf>
    <xf numFmtId="0" fontId="16" fillId="2" borderId="3" xfId="1" applyFont="1" applyBorder="1" applyAlignment="1">
      <alignment horizontal="right"/>
    </xf>
    <xf numFmtId="167" fontId="16" fillId="2" borderId="3" xfId="1" applyNumberFormat="1" applyFont="1" applyBorder="1"/>
    <xf numFmtId="167" fontId="16" fillId="2" borderId="17" xfId="1" applyNumberFormat="1" applyFont="1" applyBorder="1"/>
    <xf numFmtId="164" fontId="16" fillId="2" borderId="9" xfId="1" applyNumberFormat="1" applyFont="1" applyBorder="1"/>
    <xf numFmtId="168" fontId="16" fillId="2" borderId="9" xfId="1" applyNumberFormat="1" applyFont="1" applyBorder="1"/>
    <xf numFmtId="164" fontId="16" fillId="2" borderId="5" xfId="1" applyNumberFormat="1" applyFont="1" applyBorder="1"/>
    <xf numFmtId="0" fontId="16" fillId="2" borderId="3" xfId="1" applyFont="1" applyBorder="1"/>
    <xf numFmtId="0" fontId="16" fillId="8" borderId="6" xfId="2" applyFont="1" applyFill="1" applyBorder="1" applyAlignment="1">
      <alignment horizontal="right"/>
    </xf>
    <xf numFmtId="0" fontId="16" fillId="8" borderId="17" xfId="2" applyFont="1" applyFill="1" applyBorder="1" applyAlignment="1">
      <alignment horizontal="right"/>
    </xf>
    <xf numFmtId="166" fontId="16" fillId="2" borderId="3" xfId="1" applyNumberFormat="1" applyFont="1" applyBorder="1"/>
    <xf numFmtId="164" fontId="16" fillId="2" borderId="3" xfId="1" applyNumberFormat="1" applyFont="1" applyBorder="1"/>
    <xf numFmtId="168" fontId="16" fillId="2" borderId="3" xfId="1" applyNumberFormat="1" applyFont="1" applyBorder="1"/>
    <xf numFmtId="167" fontId="16" fillId="2" borderId="9" xfId="1" applyNumberFormat="1" applyFont="1" applyBorder="1"/>
    <xf numFmtId="0" fontId="16" fillId="8" borderId="9" xfId="2" applyFont="1" applyFill="1" applyBorder="1" applyAlignment="1">
      <alignment horizontal="right"/>
    </xf>
    <xf numFmtId="0" fontId="16" fillId="3" borderId="3" xfId="2" applyFont="1" applyBorder="1" applyAlignment="1">
      <alignment horizontal="right"/>
    </xf>
    <xf numFmtId="0" fontId="19" fillId="3" borderId="3" xfId="2" applyFont="1" applyBorder="1"/>
    <xf numFmtId="0" fontId="0" fillId="0" borderId="8" xfId="0" applyBorder="1"/>
    <xf numFmtId="0" fontId="19" fillId="0" borderId="0" xfId="0" applyFont="1"/>
    <xf numFmtId="0" fontId="16" fillId="0" borderId="0" xfId="0" applyFont="1"/>
    <xf numFmtId="0" fontId="21" fillId="0" borderId="0" xfId="0" applyFont="1"/>
    <xf numFmtId="0" fontId="3" fillId="9" borderId="3" xfId="0" applyFont="1" applyFill="1" applyBorder="1"/>
    <xf numFmtId="169" fontId="0" fillId="0" borderId="3" xfId="0" applyNumberFormat="1" applyBorder="1"/>
    <xf numFmtId="167" fontId="0" fillId="0" borderId="3" xfId="0" applyNumberFormat="1" applyFill="1" applyBorder="1"/>
    <xf numFmtId="0" fontId="0" fillId="0" borderId="6" xfId="0" applyFill="1" applyBorder="1"/>
    <xf numFmtId="169" fontId="0" fillId="0" borderId="6" xfId="0" applyNumberFormat="1" applyFill="1" applyBorder="1"/>
    <xf numFmtId="164" fontId="0" fillId="0" borderId="6" xfId="0" applyNumberFormat="1" applyFill="1" applyBorder="1"/>
    <xf numFmtId="0" fontId="0" fillId="0" borderId="4" xfId="0" applyBorder="1"/>
    <xf numFmtId="169" fontId="0" fillId="0" borderId="4" xfId="0" applyNumberFormat="1" applyBorder="1"/>
    <xf numFmtId="164" fontId="0" fillId="0" borderId="4" xfId="0" applyNumberFormat="1" applyBorder="1"/>
    <xf numFmtId="169" fontId="0" fillId="0" borderId="3" xfId="0" applyNumberFormat="1" applyFill="1" applyBorder="1"/>
    <xf numFmtId="169" fontId="0" fillId="0" borderId="8" xfId="0" applyNumberFormat="1" applyBorder="1"/>
    <xf numFmtId="164" fontId="0" fillId="0" borderId="8" xfId="0" applyNumberFormat="1" applyBorder="1"/>
    <xf numFmtId="0" fontId="0" fillId="9" borderId="3" xfId="0" applyFill="1" applyBorder="1"/>
    <xf numFmtId="0" fontId="0" fillId="0" borderId="3" xfId="0" applyBorder="1"/>
    <xf numFmtId="167" fontId="0" fillId="9" borderId="3" xfId="0" applyNumberFormat="1" applyFill="1" applyBorder="1"/>
    <xf numFmtId="169" fontId="16" fillId="2" borderId="3" xfId="1" applyNumberFormat="1" applyFont="1" applyBorder="1"/>
    <xf numFmtId="0" fontId="22" fillId="0" borderId="0" xfId="0" applyFont="1"/>
    <xf numFmtId="0" fontId="2" fillId="2" borderId="1" xfId="1"/>
    <xf numFmtId="0" fontId="0" fillId="0" borderId="0" xfId="0" applyAlignment="1">
      <alignment horizontal="center"/>
    </xf>
    <xf numFmtId="0" fontId="2" fillId="2" borderId="9" xfId="1" applyBorder="1" applyAlignment="1">
      <alignment horizontal="right"/>
    </xf>
    <xf numFmtId="164" fontId="2" fillId="2" borderId="8" xfId="1" applyNumberFormat="1" applyBorder="1"/>
    <xf numFmtId="0" fontId="2" fillId="2" borderId="18" xfId="1" applyBorder="1"/>
    <xf numFmtId="0" fontId="17" fillId="6" borderId="3" xfId="0" applyFont="1" applyFill="1" applyBorder="1" applyProtection="1">
      <protection locked="0"/>
    </xf>
    <xf numFmtId="164" fontId="17" fillId="6" borderId="3" xfId="0" applyNumberFormat="1" applyFont="1" applyFill="1" applyBorder="1" applyProtection="1">
      <protection locked="0"/>
    </xf>
    <xf numFmtId="164" fontId="17" fillId="11" borderId="3" xfId="0" applyNumberFormat="1" applyFont="1" applyFill="1" applyBorder="1" applyProtection="1">
      <protection locked="0"/>
    </xf>
    <xf numFmtId="168" fontId="17" fillId="11" borderId="3" xfId="0" applyNumberFormat="1" applyFont="1" applyFill="1" applyBorder="1" applyProtection="1">
      <protection locked="0"/>
    </xf>
    <xf numFmtId="0" fontId="17" fillId="6" borderId="3" xfId="0" applyFont="1" applyFill="1" applyBorder="1" applyAlignment="1" applyProtection="1">
      <alignment horizontal="right"/>
      <protection locked="0"/>
    </xf>
    <xf numFmtId="170" fontId="17" fillId="6" borderId="3" xfId="0" applyNumberFormat="1" applyFont="1" applyFill="1" applyBorder="1" applyProtection="1">
      <protection locked="0"/>
    </xf>
    <xf numFmtId="0" fontId="24" fillId="10" borderId="3" xfId="0" applyFont="1" applyFill="1" applyBorder="1" applyAlignment="1" applyProtection="1">
      <alignment horizontal="left"/>
      <protection locked="0"/>
    </xf>
    <xf numFmtId="0" fontId="16" fillId="8" borderId="7" xfId="2" applyFont="1" applyFill="1" applyBorder="1" applyAlignment="1">
      <alignment horizontal="right"/>
    </xf>
    <xf numFmtId="0" fontId="19" fillId="8" borderId="7" xfId="2" applyFont="1" applyFill="1" applyBorder="1"/>
    <xf numFmtId="164" fontId="20" fillId="2" borderId="17" xfId="1" applyNumberFormat="1" applyFont="1" applyBorder="1"/>
    <xf numFmtId="171" fontId="20" fillId="2" borderId="9" xfId="1" applyNumberFormat="1" applyFont="1" applyBorder="1"/>
    <xf numFmtId="0" fontId="0" fillId="0" borderId="3" xfId="0" applyBorder="1"/>
    <xf numFmtId="0" fontId="0" fillId="0" borderId="3" xfId="0" applyBorder="1"/>
    <xf numFmtId="0" fontId="25" fillId="0" borderId="0" xfId="0" applyFont="1"/>
    <xf numFmtId="0" fontId="0" fillId="0" borderId="0" xfId="0" applyFill="1" applyBorder="1"/>
    <xf numFmtId="172" fontId="20" fillId="2" borderId="9" xfId="1" applyNumberFormat="1" applyFont="1" applyBorder="1"/>
    <xf numFmtId="1" fontId="0" fillId="0" borderId="3" xfId="0" applyNumberFormat="1" applyBorder="1"/>
    <xf numFmtId="0" fontId="28" fillId="0" borderId="0" xfId="5"/>
    <xf numFmtId="0" fontId="28" fillId="0" borderId="0" xfId="5" applyAlignment="1">
      <alignment horizontal="center"/>
    </xf>
    <xf numFmtId="0" fontId="26" fillId="0" borderId="19" xfId="5" applyFont="1" applyBorder="1" applyAlignment="1">
      <alignment vertical="center" wrapText="1"/>
    </xf>
    <xf numFmtId="0" fontId="26" fillId="0" borderId="20" xfId="5" applyFont="1" applyBorder="1" applyAlignment="1">
      <alignment vertical="center" wrapText="1"/>
    </xf>
    <xf numFmtId="0" fontId="26" fillId="0" borderId="20" xfId="5" applyFont="1" applyBorder="1" applyAlignment="1">
      <alignment horizontal="center" vertical="center" wrapText="1"/>
    </xf>
    <xf numFmtId="0" fontId="26" fillId="0" borderId="22" xfId="5" applyFont="1" applyBorder="1" applyAlignment="1">
      <alignment vertical="center" wrapText="1"/>
    </xf>
    <xf numFmtId="0" fontId="26" fillId="0" borderId="22" xfId="5" applyFont="1" applyBorder="1" applyAlignment="1">
      <alignment horizontal="center" vertical="center" wrapText="1"/>
    </xf>
    <xf numFmtId="0" fontId="26" fillId="0" borderId="24" xfId="5" applyFont="1" applyBorder="1" applyAlignment="1">
      <alignment vertical="center" wrapText="1"/>
    </xf>
    <xf numFmtId="0" fontId="1" fillId="8" borderId="7" xfId="3" applyFont="1" applyFill="1" applyBorder="1" applyAlignment="1">
      <alignment horizontal="center"/>
    </xf>
    <xf numFmtId="0" fontId="1" fillId="8" borderId="0" xfId="3" applyFont="1" applyFill="1" applyBorder="1" applyAlignment="1">
      <alignment horizontal="center"/>
    </xf>
    <xf numFmtId="0" fontId="1" fillId="8" borderId="13" xfId="3" applyFont="1" applyFill="1" applyBorder="1" applyAlignment="1">
      <alignment horizontal="center"/>
    </xf>
    <xf numFmtId="0" fontId="3" fillId="8" borderId="7" xfId="3" applyFont="1" applyFill="1" applyBorder="1" applyAlignment="1">
      <alignment horizontal="left"/>
    </xf>
    <xf numFmtId="0" fontId="3" fillId="8" borderId="0" xfId="3" applyFont="1" applyFill="1" applyBorder="1" applyAlignment="1">
      <alignment horizontal="left"/>
    </xf>
    <xf numFmtId="0" fontId="3" fillId="8" borderId="13" xfId="3" applyFont="1" applyFill="1" applyBorder="1" applyAlignment="1">
      <alignment horizontal="left"/>
    </xf>
    <xf numFmtId="0" fontId="13" fillId="8" borderId="0" xfId="3" applyFont="1" applyFill="1" applyAlignment="1">
      <alignment horizontal="center"/>
    </xf>
    <xf numFmtId="0" fontId="14" fillId="8" borderId="0" xfId="3" applyFont="1" applyFill="1" applyAlignment="1">
      <alignment horizontal="center"/>
    </xf>
    <xf numFmtId="0" fontId="4" fillId="8" borderId="0" xfId="3" applyFill="1" applyAlignment="1">
      <alignment horizontal="center"/>
    </xf>
    <xf numFmtId="0" fontId="1" fillId="8" borderId="5" xfId="3" applyFont="1" applyFill="1" applyBorder="1" applyAlignment="1">
      <alignment horizontal="left"/>
    </xf>
    <xf numFmtId="0" fontId="1" fillId="8" borderId="16" xfId="3" applyFont="1" applyFill="1" applyBorder="1" applyAlignment="1">
      <alignment horizontal="left"/>
    </xf>
    <xf numFmtId="0" fontId="1" fillId="8" borderId="14" xfId="3" applyFont="1" applyFill="1" applyBorder="1" applyAlignment="1">
      <alignment horizontal="left"/>
    </xf>
    <xf numFmtId="0" fontId="1" fillId="8" borderId="7" xfId="3" applyFont="1" applyFill="1" applyBorder="1" applyAlignment="1">
      <alignment horizontal="left"/>
    </xf>
    <xf numFmtId="0" fontId="1" fillId="8" borderId="0" xfId="3" applyFont="1" applyFill="1" applyBorder="1" applyAlignment="1">
      <alignment horizontal="left"/>
    </xf>
    <xf numFmtId="0" fontId="1" fillId="8" borderId="13" xfId="3" applyFont="1" applyFill="1" applyBorder="1" applyAlignment="1">
      <alignment horizontal="left"/>
    </xf>
    <xf numFmtId="0" fontId="6" fillId="8" borderId="7" xfId="3" applyFont="1" applyFill="1" applyBorder="1" applyAlignment="1">
      <alignment horizontal="center"/>
    </xf>
    <xf numFmtId="0" fontId="6" fillId="8" borderId="0" xfId="3" applyFont="1" applyFill="1" applyBorder="1" applyAlignment="1">
      <alignment horizontal="center"/>
    </xf>
    <xf numFmtId="0" fontId="6" fillId="8" borderId="13" xfId="3" applyFont="1" applyFill="1" applyBorder="1" applyAlignment="1">
      <alignment horizontal="center"/>
    </xf>
    <xf numFmtId="0" fontId="15" fillId="8" borderId="17" xfId="3" applyFont="1" applyFill="1" applyBorder="1" applyAlignment="1">
      <alignment horizontal="center"/>
    </xf>
    <xf numFmtId="0" fontId="15" fillId="8" borderId="10" xfId="3" applyFont="1" applyFill="1" applyBorder="1" applyAlignment="1">
      <alignment horizontal="center"/>
    </xf>
    <xf numFmtId="0" fontId="15" fillId="8" borderId="15" xfId="3" applyFont="1" applyFill="1" applyBorder="1" applyAlignment="1">
      <alignment horizontal="center"/>
    </xf>
    <xf numFmtId="0" fontId="0" fillId="8" borderId="7" xfId="3" applyFont="1" applyFill="1" applyBorder="1" applyAlignment="1">
      <alignment horizontal="left"/>
    </xf>
    <xf numFmtId="0" fontId="9" fillId="7" borderId="3" xfId="2" applyFont="1" applyFill="1" applyBorder="1" applyAlignment="1">
      <alignment horizontal="center"/>
    </xf>
    <xf numFmtId="0" fontId="23" fillId="5" borderId="0" xfId="4" applyFont="1" applyBorder="1" applyAlignment="1">
      <alignment horizontal="center"/>
    </xf>
    <xf numFmtId="0" fontId="10" fillId="7" borderId="9" xfId="2" applyFont="1" applyFill="1" applyBorder="1" applyAlignment="1">
      <alignment horizontal="center"/>
    </xf>
    <xf numFmtId="0" fontId="10" fillId="7" borderId="11" xfId="2" applyFont="1" applyFill="1" applyBorder="1" applyAlignment="1">
      <alignment horizontal="center"/>
    </xf>
    <xf numFmtId="0" fontId="11" fillId="7" borderId="11" xfId="2" applyFont="1" applyFill="1" applyBorder="1" applyAlignment="1">
      <alignment horizontal="center"/>
    </xf>
    <xf numFmtId="0" fontId="11" fillId="7" borderId="12" xfId="2" applyFont="1" applyFill="1" applyBorder="1" applyAlignment="1">
      <alignment horizontal="center"/>
    </xf>
    <xf numFmtId="0" fontId="10" fillId="7" borderId="12" xfId="2" applyFont="1" applyFill="1" applyBorder="1" applyAlignment="1">
      <alignment horizontal="center"/>
    </xf>
    <xf numFmtId="0" fontId="10" fillId="7" borderId="9" xfId="0" applyFont="1" applyFill="1" applyBorder="1" applyAlignment="1">
      <alignment horizontal="center"/>
    </xf>
    <xf numFmtId="0" fontId="10" fillId="7" borderId="11" xfId="0" applyFont="1" applyFill="1" applyBorder="1" applyAlignment="1">
      <alignment horizontal="center"/>
    </xf>
    <xf numFmtId="0" fontId="10" fillId="7" borderId="12" xfId="0" applyFont="1" applyFill="1" applyBorder="1" applyAlignment="1">
      <alignment horizontal="center"/>
    </xf>
    <xf numFmtId="0" fontId="10" fillId="7" borderId="3" xfId="2" applyFont="1" applyFill="1" applyBorder="1" applyAlignment="1">
      <alignment horizontal="center"/>
    </xf>
    <xf numFmtId="0" fontId="19" fillId="9" borderId="5" xfId="0" applyFont="1" applyFill="1" applyBorder="1"/>
    <xf numFmtId="0" fontId="19" fillId="9" borderId="16" xfId="0" applyFont="1" applyFill="1" applyBorder="1"/>
    <xf numFmtId="0" fontId="19" fillId="9" borderId="14" xfId="0" applyFont="1" applyFill="1" applyBorder="1"/>
    <xf numFmtId="0" fontId="19" fillId="9" borderId="7" xfId="0" applyFont="1" applyFill="1" applyBorder="1"/>
    <xf numFmtId="0" fontId="19" fillId="9" borderId="0" xfId="0" applyFont="1" applyFill="1" applyBorder="1"/>
    <xf numFmtId="0" fontId="19" fillId="9" borderId="13" xfId="0" applyFont="1" applyFill="1" applyBorder="1"/>
    <xf numFmtId="0" fontId="19" fillId="9" borderId="17" xfId="0" applyFont="1" applyFill="1" applyBorder="1"/>
    <xf numFmtId="0" fontId="19" fillId="9" borderId="10" xfId="0" applyFont="1" applyFill="1" applyBorder="1"/>
    <xf numFmtId="0" fontId="19" fillId="9" borderId="15" xfId="0" applyFont="1" applyFill="1" applyBorder="1"/>
    <xf numFmtId="0" fontId="26" fillId="0" borderId="0" xfId="5" applyFont="1" applyFill="1" applyBorder="1" applyAlignment="1">
      <alignment horizontal="left" vertical="center" wrapText="1"/>
    </xf>
    <xf numFmtId="0" fontId="26" fillId="0" borderId="21" xfId="5" applyFont="1" applyBorder="1" applyAlignment="1">
      <alignment vertical="center" wrapText="1"/>
    </xf>
    <xf numFmtId="0" fontId="26" fillId="0" borderId="23" xfId="5" applyFont="1" applyBorder="1" applyAlignment="1">
      <alignment vertical="center" wrapText="1"/>
    </xf>
    <xf numFmtId="0" fontId="26" fillId="0" borderId="24" xfId="5" applyFont="1" applyBorder="1" applyAlignment="1">
      <alignment vertic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9" borderId="9" xfId="2" applyFont="1" applyFill="1" applyBorder="1"/>
    <xf numFmtId="0" fontId="0" fillId="9" borderId="11" xfId="2" applyFont="1" applyFill="1" applyBorder="1"/>
    <xf numFmtId="0" fontId="0" fillId="9" borderId="12" xfId="2" applyFont="1" applyFill="1" applyBorder="1"/>
    <xf numFmtId="0" fontId="0" fillId="0" borderId="9" xfId="0" applyBorder="1"/>
    <xf numFmtId="0" fontId="0" fillId="0" borderId="11" xfId="0" applyBorder="1"/>
    <xf numFmtId="0" fontId="0" fillId="0" borderId="12" xfId="0" applyBorder="1"/>
    <xf numFmtId="0" fontId="0" fillId="0" borderId="3" xfId="0" applyBorder="1"/>
    <xf numFmtId="0" fontId="0" fillId="9" borderId="9" xfId="0" applyFill="1" applyBorder="1" applyAlignment="1">
      <alignment horizontal="center"/>
    </xf>
    <xf numFmtId="0" fontId="0" fillId="9" borderId="11" xfId="0" applyFill="1" applyBorder="1" applyAlignment="1">
      <alignment horizontal="center"/>
    </xf>
    <xf numFmtId="0" fontId="0" fillId="9" borderId="12" xfId="0" applyFill="1" applyBorder="1" applyAlignment="1">
      <alignment horizontal="center"/>
    </xf>
    <xf numFmtId="0" fontId="3" fillId="9" borderId="3" xfId="2" applyFont="1" applyFill="1" applyBorder="1" applyAlignment="1">
      <alignment horizontal="center"/>
    </xf>
    <xf numFmtId="0" fontId="3" fillId="9" borderId="4" xfId="2" applyFont="1" applyFill="1" applyBorder="1" applyAlignment="1">
      <alignment horizontal="center"/>
    </xf>
  </cellXfs>
  <cellStyles count="6">
    <cellStyle name="60% - Accent3" xfId="4" builtinId="40"/>
    <cellStyle name="Calculation" xfId="1" builtinId="22"/>
    <cellStyle name="Neutral" xfId="3" builtinId="28"/>
    <cellStyle name="Normal" xfId="0" builtinId="0"/>
    <cellStyle name="Normal 2" xfId="5" xr:uid="{66766E04-6381-475A-819F-3287B009E9BC}"/>
    <cellStyle name="Note" xfId="2" builtinId="10"/>
  </cellStyles>
  <dxfs count="3">
    <dxf>
      <font>
        <b/>
        <i val="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3C1F"/>
      <color rgb="FFFF6D10"/>
      <color rgb="FF69A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2"/>
  <sheetViews>
    <sheetView tabSelected="1" workbookViewId="0">
      <selection activeCell="X6" sqref="X6"/>
    </sheetView>
  </sheetViews>
  <sheetFormatPr defaultRowHeight="15"/>
  <cols>
    <col min="6" max="6" width="11.140625" customWidth="1"/>
    <col min="11" max="12" width="11.140625" customWidth="1"/>
    <col min="15" max="15" width="9.85546875" customWidth="1"/>
  </cols>
  <sheetData>
    <row r="1" spans="1:22" ht="31.5">
      <c r="A1" s="104" t="s">
        <v>74</v>
      </c>
      <c r="B1" s="104"/>
      <c r="C1" s="104"/>
      <c r="D1" s="104"/>
      <c r="E1" s="104"/>
      <c r="F1" s="104"/>
      <c r="G1" s="104"/>
      <c r="H1" s="104"/>
      <c r="I1" s="104"/>
      <c r="J1" s="104"/>
      <c r="K1" s="104"/>
      <c r="L1" s="104"/>
      <c r="M1" s="104"/>
      <c r="N1" s="104"/>
      <c r="O1" s="104"/>
      <c r="P1" s="104"/>
      <c r="Q1" s="104"/>
      <c r="R1" s="104"/>
      <c r="S1" s="104"/>
      <c r="T1" s="104"/>
    </row>
    <row r="2" spans="1:22" ht="26.25">
      <c r="A2" s="105" t="s">
        <v>75</v>
      </c>
      <c r="B2" s="105"/>
      <c r="C2" s="105"/>
      <c r="D2" s="105"/>
      <c r="E2" s="105"/>
      <c r="F2" s="105"/>
      <c r="G2" s="105"/>
      <c r="H2" s="105"/>
      <c r="I2" s="105"/>
      <c r="J2" s="105"/>
      <c r="K2" s="105"/>
      <c r="L2" s="105"/>
      <c r="M2" s="105"/>
      <c r="N2" s="105"/>
      <c r="O2" s="105"/>
      <c r="P2" s="105"/>
      <c r="Q2" s="105"/>
      <c r="R2" s="105"/>
      <c r="S2" s="105"/>
      <c r="T2" s="105"/>
    </row>
    <row r="3" spans="1:22">
      <c r="A3" s="106"/>
      <c r="B3" s="106"/>
      <c r="C3" s="106"/>
      <c r="D3" s="106"/>
      <c r="E3" s="106"/>
      <c r="F3" s="106"/>
      <c r="G3" s="106"/>
      <c r="H3" s="106"/>
      <c r="I3" s="106"/>
      <c r="J3" s="106"/>
      <c r="K3" s="106"/>
      <c r="L3" s="106"/>
      <c r="M3" s="106"/>
      <c r="N3" s="106"/>
      <c r="O3" s="106"/>
      <c r="P3" s="106"/>
      <c r="Q3" s="106"/>
      <c r="R3" s="106"/>
      <c r="S3" s="106"/>
      <c r="T3" s="106"/>
    </row>
    <row r="4" spans="1:22">
      <c r="A4" s="106"/>
      <c r="B4" s="106"/>
      <c r="C4" s="106"/>
      <c r="D4" s="106"/>
      <c r="E4" s="106"/>
      <c r="F4" s="107" t="s">
        <v>76</v>
      </c>
      <c r="G4" s="108"/>
      <c r="H4" s="108"/>
      <c r="I4" s="108"/>
      <c r="J4" s="108"/>
      <c r="K4" s="108"/>
      <c r="L4" s="108"/>
      <c r="M4" s="108"/>
      <c r="N4" s="108"/>
      <c r="O4" s="109"/>
      <c r="P4" s="106"/>
      <c r="Q4" s="106"/>
      <c r="R4" s="106"/>
      <c r="S4" s="106"/>
      <c r="T4" s="106"/>
      <c r="V4" s="20"/>
    </row>
    <row r="5" spans="1:22">
      <c r="A5" s="106"/>
      <c r="B5" s="106"/>
      <c r="C5" s="106"/>
      <c r="D5" s="106"/>
      <c r="E5" s="106"/>
      <c r="F5" s="110" t="s">
        <v>77</v>
      </c>
      <c r="G5" s="111"/>
      <c r="H5" s="111"/>
      <c r="I5" s="111"/>
      <c r="J5" s="111"/>
      <c r="K5" s="111"/>
      <c r="L5" s="111"/>
      <c r="M5" s="111"/>
      <c r="N5" s="111"/>
      <c r="O5" s="112"/>
      <c r="P5" s="106"/>
      <c r="Q5" s="106"/>
      <c r="R5" s="106"/>
      <c r="S5" s="106"/>
      <c r="T5" s="106"/>
    </row>
    <row r="6" spans="1:22">
      <c r="A6" s="106"/>
      <c r="B6" s="106"/>
      <c r="C6" s="106"/>
      <c r="D6" s="106"/>
      <c r="E6" s="106"/>
      <c r="F6" s="110" t="s">
        <v>78</v>
      </c>
      <c r="G6" s="111"/>
      <c r="H6" s="111"/>
      <c r="I6" s="111"/>
      <c r="J6" s="111"/>
      <c r="K6" s="111"/>
      <c r="L6" s="111"/>
      <c r="M6" s="111"/>
      <c r="N6" s="111"/>
      <c r="O6" s="112"/>
      <c r="P6" s="106"/>
      <c r="Q6" s="106"/>
      <c r="R6" s="106"/>
      <c r="S6" s="106"/>
      <c r="T6" s="106"/>
    </row>
    <row r="7" spans="1:22">
      <c r="A7" s="106"/>
      <c r="B7" s="106"/>
      <c r="C7" s="106"/>
      <c r="D7" s="106"/>
      <c r="E7" s="106"/>
      <c r="F7" s="110" t="s">
        <v>79</v>
      </c>
      <c r="G7" s="111"/>
      <c r="H7" s="111"/>
      <c r="I7" s="111"/>
      <c r="J7" s="111"/>
      <c r="K7" s="111"/>
      <c r="L7" s="111"/>
      <c r="M7" s="111"/>
      <c r="N7" s="111"/>
      <c r="O7" s="112"/>
      <c r="P7" s="106"/>
      <c r="Q7" s="106"/>
      <c r="R7" s="106"/>
      <c r="S7" s="106"/>
      <c r="T7" s="106"/>
    </row>
    <row r="8" spans="1:22">
      <c r="A8" s="106"/>
      <c r="B8" s="106"/>
      <c r="C8" s="106"/>
      <c r="D8" s="106"/>
      <c r="E8" s="106"/>
      <c r="F8" s="98"/>
      <c r="G8" s="99"/>
      <c r="H8" s="99"/>
      <c r="I8" s="99"/>
      <c r="J8" s="99"/>
      <c r="K8" s="99"/>
      <c r="L8" s="99"/>
      <c r="M8" s="99"/>
      <c r="N8" s="99"/>
      <c r="O8" s="100"/>
      <c r="P8" s="106"/>
      <c r="Q8" s="106"/>
      <c r="R8" s="106"/>
      <c r="S8" s="106"/>
      <c r="T8" s="106"/>
    </row>
    <row r="9" spans="1:22">
      <c r="A9" s="106"/>
      <c r="B9" s="106"/>
      <c r="C9" s="106"/>
      <c r="D9" s="106"/>
      <c r="E9" s="106"/>
      <c r="F9" s="113" t="s">
        <v>80</v>
      </c>
      <c r="G9" s="114"/>
      <c r="H9" s="114"/>
      <c r="I9" s="114"/>
      <c r="J9" s="114"/>
      <c r="K9" s="114"/>
      <c r="L9" s="114"/>
      <c r="M9" s="114"/>
      <c r="N9" s="114"/>
      <c r="O9" s="115"/>
      <c r="P9" s="106"/>
      <c r="Q9" s="106"/>
      <c r="R9" s="106"/>
      <c r="S9" s="106"/>
      <c r="T9" s="106"/>
    </row>
    <row r="10" spans="1:22">
      <c r="A10" s="106"/>
      <c r="B10" s="106"/>
      <c r="C10" s="106"/>
      <c r="D10" s="106"/>
      <c r="E10" s="106"/>
      <c r="F10" s="98"/>
      <c r="G10" s="99"/>
      <c r="H10" s="99"/>
      <c r="I10" s="99"/>
      <c r="J10" s="99"/>
      <c r="K10" s="99"/>
      <c r="L10" s="99"/>
      <c r="M10" s="99"/>
      <c r="N10" s="99"/>
      <c r="O10" s="100"/>
      <c r="P10" s="106"/>
      <c r="Q10" s="106"/>
      <c r="R10" s="106"/>
      <c r="S10" s="106"/>
      <c r="T10" s="106"/>
    </row>
    <row r="11" spans="1:22">
      <c r="A11" s="106"/>
      <c r="B11" s="106"/>
      <c r="C11" s="106"/>
      <c r="D11" s="106"/>
      <c r="E11" s="106"/>
      <c r="F11" s="110" t="s">
        <v>81</v>
      </c>
      <c r="G11" s="111"/>
      <c r="H11" s="111"/>
      <c r="I11" s="111"/>
      <c r="J11" s="111"/>
      <c r="K11" s="111"/>
      <c r="L11" s="111"/>
      <c r="M11" s="111"/>
      <c r="N11" s="111"/>
      <c r="O11" s="112"/>
      <c r="P11" s="106"/>
      <c r="Q11" s="106"/>
      <c r="R11" s="106"/>
      <c r="S11" s="106"/>
      <c r="T11" s="106"/>
    </row>
    <row r="12" spans="1:22">
      <c r="A12" s="106"/>
      <c r="B12" s="106"/>
      <c r="C12" s="106"/>
      <c r="D12" s="106"/>
      <c r="E12" s="106"/>
      <c r="F12" s="110" t="s">
        <v>82</v>
      </c>
      <c r="G12" s="111"/>
      <c r="H12" s="111"/>
      <c r="I12" s="111"/>
      <c r="J12" s="111"/>
      <c r="K12" s="111"/>
      <c r="L12" s="111"/>
      <c r="M12" s="111"/>
      <c r="N12" s="111"/>
      <c r="O12" s="112"/>
      <c r="P12" s="106"/>
      <c r="Q12" s="106"/>
      <c r="R12" s="106"/>
      <c r="S12" s="106"/>
      <c r="T12" s="106"/>
    </row>
    <row r="13" spans="1:22">
      <c r="A13" s="106"/>
      <c r="B13" s="106"/>
      <c r="C13" s="106"/>
      <c r="D13" s="106"/>
      <c r="E13" s="106"/>
      <c r="F13" s="119" t="s">
        <v>183</v>
      </c>
      <c r="G13" s="111"/>
      <c r="H13" s="111"/>
      <c r="I13" s="111"/>
      <c r="J13" s="111"/>
      <c r="K13" s="111"/>
      <c r="L13" s="111"/>
      <c r="M13" s="111"/>
      <c r="N13" s="111"/>
      <c r="O13" s="112"/>
      <c r="P13" s="106"/>
      <c r="Q13" s="106"/>
      <c r="R13" s="106"/>
      <c r="S13" s="106"/>
      <c r="T13" s="106"/>
    </row>
    <row r="14" spans="1:22">
      <c r="A14" s="106"/>
      <c r="B14" s="106"/>
      <c r="C14" s="106"/>
      <c r="D14" s="106"/>
      <c r="E14" s="106"/>
      <c r="F14" s="110" t="s">
        <v>83</v>
      </c>
      <c r="G14" s="111"/>
      <c r="H14" s="111"/>
      <c r="I14" s="111"/>
      <c r="J14" s="111"/>
      <c r="K14" s="111"/>
      <c r="L14" s="111"/>
      <c r="M14" s="111"/>
      <c r="N14" s="111"/>
      <c r="O14" s="112"/>
      <c r="P14" s="106"/>
      <c r="Q14" s="106"/>
      <c r="R14" s="106"/>
      <c r="S14" s="106"/>
      <c r="T14" s="106"/>
    </row>
    <row r="15" spans="1:22">
      <c r="A15" s="106"/>
      <c r="B15" s="106"/>
      <c r="C15" s="106"/>
      <c r="D15" s="106"/>
      <c r="E15" s="106"/>
      <c r="F15" s="98"/>
      <c r="G15" s="99"/>
      <c r="H15" s="99"/>
      <c r="I15" s="99"/>
      <c r="J15" s="99"/>
      <c r="K15" s="99"/>
      <c r="L15" s="99"/>
      <c r="M15" s="99"/>
      <c r="N15" s="99"/>
      <c r="O15" s="100"/>
      <c r="P15" s="106"/>
      <c r="Q15" s="106"/>
      <c r="R15" s="106"/>
      <c r="S15" s="106"/>
      <c r="T15" s="106"/>
    </row>
    <row r="16" spans="1:22">
      <c r="A16" s="106"/>
      <c r="B16" s="106"/>
      <c r="C16" s="106"/>
      <c r="D16" s="106"/>
      <c r="E16" s="106"/>
      <c r="F16" s="101" t="s">
        <v>84</v>
      </c>
      <c r="G16" s="102"/>
      <c r="H16" s="102"/>
      <c r="I16" s="102"/>
      <c r="J16" s="102"/>
      <c r="K16" s="102"/>
      <c r="L16" s="102"/>
      <c r="M16" s="102"/>
      <c r="N16" s="102"/>
      <c r="O16" s="103"/>
      <c r="P16" s="106"/>
      <c r="Q16" s="106"/>
      <c r="R16" s="106"/>
      <c r="S16" s="106"/>
      <c r="T16" s="106"/>
    </row>
    <row r="17" spans="1:20">
      <c r="A17" s="106"/>
      <c r="B17" s="106"/>
      <c r="C17" s="106"/>
      <c r="D17" s="106"/>
      <c r="E17" s="106"/>
      <c r="F17" s="101" t="s">
        <v>85</v>
      </c>
      <c r="G17" s="102"/>
      <c r="H17" s="102"/>
      <c r="I17" s="102"/>
      <c r="J17" s="102"/>
      <c r="K17" s="102"/>
      <c r="L17" s="102"/>
      <c r="M17" s="102"/>
      <c r="N17" s="102"/>
      <c r="O17" s="103"/>
      <c r="P17" s="106"/>
      <c r="Q17" s="106"/>
      <c r="R17" s="106"/>
      <c r="S17" s="106"/>
      <c r="T17" s="106"/>
    </row>
    <row r="18" spans="1:20">
      <c r="A18" s="106"/>
      <c r="B18" s="106"/>
      <c r="C18" s="106"/>
      <c r="D18" s="106"/>
      <c r="E18" s="106"/>
      <c r="F18" s="101" t="s">
        <v>86</v>
      </c>
      <c r="G18" s="102"/>
      <c r="H18" s="102"/>
      <c r="I18" s="102"/>
      <c r="J18" s="102"/>
      <c r="K18" s="102"/>
      <c r="L18" s="102"/>
      <c r="M18" s="102"/>
      <c r="N18" s="102"/>
      <c r="O18" s="103"/>
      <c r="P18" s="106"/>
      <c r="Q18" s="106"/>
      <c r="R18" s="106"/>
      <c r="S18" s="106"/>
      <c r="T18" s="106"/>
    </row>
    <row r="19" spans="1:20">
      <c r="A19" s="106"/>
      <c r="B19" s="106"/>
      <c r="C19" s="106"/>
      <c r="D19" s="106"/>
      <c r="E19" s="106"/>
      <c r="F19" s="23"/>
      <c r="G19" s="24"/>
      <c r="H19" s="24"/>
      <c r="I19" s="24"/>
      <c r="J19" s="24"/>
      <c r="K19" s="24"/>
      <c r="L19" s="24"/>
      <c r="M19" s="24"/>
      <c r="N19" s="24"/>
      <c r="O19" s="25"/>
      <c r="P19" s="106"/>
      <c r="Q19" s="106"/>
      <c r="R19" s="106"/>
      <c r="S19" s="106"/>
      <c r="T19" s="106"/>
    </row>
    <row r="20" spans="1:20">
      <c r="A20" s="106"/>
      <c r="B20" s="106"/>
      <c r="C20" s="106"/>
      <c r="D20" s="106"/>
      <c r="E20" s="106"/>
      <c r="F20" s="113" t="s">
        <v>87</v>
      </c>
      <c r="G20" s="114"/>
      <c r="H20" s="114"/>
      <c r="I20" s="114"/>
      <c r="J20" s="114"/>
      <c r="K20" s="114"/>
      <c r="L20" s="114"/>
      <c r="M20" s="114"/>
      <c r="N20" s="114"/>
      <c r="O20" s="115"/>
      <c r="P20" s="106"/>
      <c r="Q20" s="106"/>
      <c r="R20" s="106"/>
      <c r="S20" s="106"/>
      <c r="T20" s="106"/>
    </row>
    <row r="21" spans="1:20" ht="15.75">
      <c r="A21" s="106"/>
      <c r="B21" s="106"/>
      <c r="C21" s="106"/>
      <c r="D21" s="106"/>
      <c r="E21" s="106"/>
      <c r="F21" s="116"/>
      <c r="G21" s="117"/>
      <c r="H21" s="117"/>
      <c r="I21" s="117"/>
      <c r="J21" s="117"/>
      <c r="K21" s="117"/>
      <c r="L21" s="117"/>
      <c r="M21" s="117"/>
      <c r="N21" s="117"/>
      <c r="O21" s="118"/>
      <c r="P21" s="106"/>
      <c r="Q21" s="106"/>
      <c r="R21" s="106"/>
      <c r="S21" s="106"/>
      <c r="T21" s="106"/>
    </row>
    <row r="22" spans="1:20">
      <c r="A22" s="106"/>
      <c r="B22" s="106"/>
      <c r="C22" s="106"/>
      <c r="D22" s="106"/>
      <c r="E22" s="106"/>
      <c r="F22" s="106"/>
      <c r="G22" s="106"/>
      <c r="H22" s="106"/>
      <c r="I22" s="106"/>
      <c r="J22" s="106"/>
      <c r="K22" s="106"/>
      <c r="L22" s="106"/>
      <c r="M22" s="106"/>
      <c r="N22" s="106"/>
      <c r="O22" s="106"/>
      <c r="P22" s="106"/>
      <c r="Q22" s="106"/>
      <c r="R22" s="106"/>
      <c r="S22" s="106"/>
      <c r="T22" s="106"/>
    </row>
    <row r="23" spans="1:20">
      <c r="A23" s="106"/>
      <c r="B23" s="106"/>
      <c r="C23" s="106"/>
      <c r="D23" s="106"/>
      <c r="E23" s="106"/>
      <c r="F23" s="106"/>
      <c r="G23" s="106"/>
      <c r="H23" s="106"/>
      <c r="I23" s="106"/>
      <c r="J23" s="106"/>
      <c r="K23" s="106"/>
      <c r="L23" s="106"/>
      <c r="M23" s="106"/>
      <c r="N23" s="106"/>
      <c r="O23" s="106"/>
      <c r="P23" s="106"/>
      <c r="Q23" s="106"/>
      <c r="R23" s="106"/>
      <c r="S23" s="106"/>
      <c r="T23" s="106"/>
    </row>
    <row r="24" spans="1:20">
      <c r="A24" s="106"/>
      <c r="B24" s="106"/>
      <c r="C24" s="106"/>
      <c r="D24" s="106"/>
      <c r="E24" s="106"/>
      <c r="F24" s="106"/>
      <c r="G24" s="106"/>
      <c r="H24" s="106"/>
      <c r="I24" s="106"/>
      <c r="J24" s="106"/>
      <c r="K24" s="106"/>
      <c r="L24" s="106"/>
      <c r="M24" s="106"/>
      <c r="N24" s="106"/>
      <c r="O24" s="106"/>
      <c r="P24" s="106"/>
      <c r="Q24" s="106"/>
      <c r="R24" s="106"/>
      <c r="S24" s="106"/>
      <c r="T24" s="106"/>
    </row>
    <row r="25" spans="1:20">
      <c r="A25" s="106"/>
      <c r="B25" s="106"/>
      <c r="C25" s="106"/>
      <c r="D25" s="106"/>
      <c r="E25" s="106"/>
      <c r="F25" s="106"/>
      <c r="G25" s="106"/>
      <c r="H25" s="106"/>
      <c r="I25" s="106"/>
      <c r="J25" s="106"/>
      <c r="K25" s="106"/>
      <c r="L25" s="106"/>
      <c r="M25" s="106"/>
      <c r="N25" s="106"/>
      <c r="O25" s="106"/>
      <c r="P25" s="106"/>
      <c r="Q25" s="106"/>
      <c r="R25" s="106"/>
      <c r="S25" s="106"/>
      <c r="T25" s="106"/>
    </row>
    <row r="26" spans="1:20">
      <c r="A26" s="106"/>
      <c r="B26" s="106"/>
      <c r="C26" s="106"/>
      <c r="D26" s="106"/>
      <c r="E26" s="106"/>
      <c r="F26" s="106"/>
      <c r="G26" s="106"/>
      <c r="H26" s="106"/>
      <c r="I26" s="106"/>
      <c r="J26" s="106"/>
      <c r="K26" s="106"/>
      <c r="L26" s="106"/>
      <c r="M26" s="106"/>
      <c r="N26" s="106"/>
      <c r="O26" s="106"/>
      <c r="P26" s="106"/>
      <c r="Q26" s="106"/>
      <c r="R26" s="106"/>
      <c r="S26" s="106"/>
      <c r="T26" s="106"/>
    </row>
    <row r="27" spans="1:20">
      <c r="A27" s="106"/>
      <c r="B27" s="106"/>
      <c r="C27" s="106"/>
      <c r="D27" s="106"/>
      <c r="E27" s="106"/>
      <c r="F27" s="106"/>
      <c r="G27" s="106"/>
      <c r="H27" s="106"/>
      <c r="I27" s="106"/>
      <c r="J27" s="106"/>
      <c r="K27" s="106"/>
      <c r="L27" s="106"/>
      <c r="M27" s="106"/>
      <c r="N27" s="106"/>
      <c r="O27" s="106"/>
      <c r="P27" s="106"/>
      <c r="Q27" s="106"/>
      <c r="R27" s="106"/>
      <c r="S27" s="106"/>
      <c r="T27" s="106"/>
    </row>
    <row r="28" spans="1:20">
      <c r="A28" s="106"/>
      <c r="B28" s="106"/>
      <c r="C28" s="106"/>
      <c r="D28" s="106"/>
      <c r="E28" s="106"/>
      <c r="F28" s="106"/>
      <c r="G28" s="106"/>
      <c r="H28" s="106"/>
      <c r="I28" s="106"/>
      <c r="J28" s="106"/>
      <c r="K28" s="106"/>
      <c r="L28" s="106"/>
      <c r="M28" s="106"/>
      <c r="N28" s="106"/>
      <c r="O28" s="106"/>
      <c r="P28" s="106"/>
      <c r="Q28" s="106"/>
      <c r="R28" s="106"/>
      <c r="S28" s="106"/>
      <c r="T28" s="106"/>
    </row>
    <row r="29" spans="1:20">
      <c r="A29" s="106"/>
      <c r="B29" s="106"/>
      <c r="C29" s="106"/>
      <c r="D29" s="106"/>
      <c r="E29" s="106"/>
      <c r="F29" s="106"/>
      <c r="G29" s="106"/>
      <c r="H29" s="106"/>
      <c r="I29" s="106"/>
      <c r="J29" s="106"/>
      <c r="K29" s="106"/>
      <c r="L29" s="106"/>
      <c r="M29" s="106"/>
      <c r="N29" s="106"/>
      <c r="O29" s="106"/>
      <c r="P29" s="106"/>
      <c r="Q29" s="106"/>
      <c r="R29" s="106"/>
      <c r="S29" s="106"/>
      <c r="T29" s="106"/>
    </row>
    <row r="30" spans="1:20">
      <c r="A30" s="106"/>
      <c r="B30" s="106"/>
      <c r="C30" s="106"/>
      <c r="D30" s="106"/>
      <c r="E30" s="106"/>
      <c r="F30" s="106"/>
      <c r="G30" s="106"/>
      <c r="H30" s="106"/>
      <c r="I30" s="106"/>
      <c r="J30" s="106"/>
      <c r="K30" s="106"/>
      <c r="L30" s="106"/>
      <c r="M30" s="106"/>
      <c r="N30" s="106"/>
      <c r="O30" s="106"/>
      <c r="P30" s="106"/>
      <c r="Q30" s="106"/>
      <c r="R30" s="106"/>
      <c r="S30" s="106"/>
      <c r="T30" s="106"/>
    </row>
    <row r="31" spans="1:20">
      <c r="A31" s="106"/>
      <c r="B31" s="106"/>
      <c r="C31" s="106"/>
      <c r="D31" s="106"/>
      <c r="E31" s="106"/>
      <c r="F31" s="106"/>
      <c r="G31" s="106"/>
      <c r="H31" s="106"/>
      <c r="I31" s="106"/>
      <c r="J31" s="106"/>
      <c r="K31" s="106"/>
      <c r="L31" s="106"/>
      <c r="M31" s="106"/>
      <c r="N31" s="106"/>
      <c r="O31" s="106"/>
      <c r="P31" s="106"/>
      <c r="Q31" s="106"/>
      <c r="R31" s="106"/>
      <c r="S31" s="106"/>
      <c r="T31" s="106"/>
    </row>
    <row r="32" spans="1:20">
      <c r="A32" s="106"/>
      <c r="B32" s="106"/>
      <c r="C32" s="106"/>
      <c r="D32" s="106"/>
      <c r="E32" s="106"/>
      <c r="F32" s="106"/>
      <c r="G32" s="106"/>
      <c r="H32" s="106"/>
      <c r="I32" s="106"/>
      <c r="J32" s="106"/>
      <c r="K32" s="106"/>
      <c r="L32" s="106"/>
      <c r="M32" s="106"/>
      <c r="N32" s="106"/>
      <c r="O32" s="106"/>
      <c r="P32" s="106"/>
      <c r="Q32" s="106"/>
      <c r="R32" s="106"/>
      <c r="S32" s="106"/>
      <c r="T32" s="106"/>
    </row>
  </sheetData>
  <sheetProtection algorithmName="SHA-512" hashValue="P5NWsRBEHwX15JcA6HEXelgL8cgZiIMXfqS9+6UAZSlXUcIVNITc+f2EC7PKCC5Qko+2it0ir+BpFEMfEZWykA==" saltValue="2ovBlQIbKiglx7IyxbyHWQ==" spinCount="100000" sheet="1" objects="1" scenarios="1" selectLockedCells="1"/>
  <mergeCells count="25">
    <mergeCell ref="F18:O18"/>
    <mergeCell ref="A5:E32"/>
    <mergeCell ref="F5:O5"/>
    <mergeCell ref="P5:T32"/>
    <mergeCell ref="F6:O6"/>
    <mergeCell ref="F7:O7"/>
    <mergeCell ref="F8:O8"/>
    <mergeCell ref="F9:O9"/>
    <mergeCell ref="F10:O10"/>
    <mergeCell ref="F11:O11"/>
    <mergeCell ref="F12:O12"/>
    <mergeCell ref="F20:O20"/>
    <mergeCell ref="F21:O21"/>
    <mergeCell ref="F22:O32"/>
    <mergeCell ref="F13:O13"/>
    <mergeCell ref="F14:O14"/>
    <mergeCell ref="F15:O15"/>
    <mergeCell ref="F16:O16"/>
    <mergeCell ref="F17:O17"/>
    <mergeCell ref="A1:T1"/>
    <mergeCell ref="A2:T2"/>
    <mergeCell ref="A3:T3"/>
    <mergeCell ref="A4:E4"/>
    <mergeCell ref="F4:O4"/>
    <mergeCell ref="P4:T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workbookViewId="0">
      <selection activeCell="A23" sqref="A23"/>
    </sheetView>
  </sheetViews>
  <sheetFormatPr defaultRowHeight="15"/>
  <cols>
    <col min="1" max="1" width="112" bestFit="1" customWidth="1"/>
    <col min="3" max="3" width="100.85546875" bestFit="1" customWidth="1"/>
  </cols>
  <sheetData>
    <row r="1" spans="1:3" ht="16.5">
      <c r="A1" s="28" t="s">
        <v>88</v>
      </c>
      <c r="C1" s="49" t="s">
        <v>115</v>
      </c>
    </row>
    <row r="2" spans="1:3" ht="16.5">
      <c r="A2" s="48" t="s">
        <v>89</v>
      </c>
      <c r="C2" s="48" t="s">
        <v>116</v>
      </c>
    </row>
    <row r="3" spans="1:3" ht="16.5">
      <c r="A3" s="48" t="s">
        <v>90</v>
      </c>
      <c r="C3" s="48" t="s">
        <v>117</v>
      </c>
    </row>
    <row r="4" spans="1:3" ht="16.5">
      <c r="A4" s="48" t="s">
        <v>91</v>
      </c>
      <c r="C4" s="48" t="s">
        <v>118</v>
      </c>
    </row>
    <row r="5" spans="1:3" ht="16.5">
      <c r="A5" s="48" t="s">
        <v>92</v>
      </c>
      <c r="C5" t="s">
        <v>180</v>
      </c>
    </row>
    <row r="6" spans="1:3" ht="16.5">
      <c r="A6" s="48" t="s">
        <v>93</v>
      </c>
      <c r="C6" s="48" t="s">
        <v>119</v>
      </c>
    </row>
    <row r="7" spans="1:3" ht="16.5">
      <c r="A7" s="48" t="s">
        <v>94</v>
      </c>
      <c r="C7" s="48"/>
    </row>
    <row r="8" spans="1:3" ht="16.5">
      <c r="A8" s="48" t="s">
        <v>95</v>
      </c>
      <c r="C8" s="48"/>
    </row>
    <row r="9" spans="1:3" ht="16.5">
      <c r="A9" s="48" t="s">
        <v>96</v>
      </c>
      <c r="C9" s="48"/>
    </row>
    <row r="10" spans="1:3" ht="16.5">
      <c r="A10" s="48" t="s">
        <v>97</v>
      </c>
      <c r="C10" s="48"/>
    </row>
    <row r="11" spans="1:3" ht="16.5">
      <c r="A11" s="48" t="s">
        <v>98</v>
      </c>
      <c r="C11" s="48"/>
    </row>
    <row r="12" spans="1:3" ht="16.5">
      <c r="A12" s="48"/>
      <c r="C12" s="48"/>
    </row>
    <row r="13" spans="1:3" ht="16.5">
      <c r="A13" s="49" t="s">
        <v>99</v>
      </c>
      <c r="C13" s="48"/>
    </row>
    <row r="14" spans="1:3" ht="16.5">
      <c r="A14" s="48" t="s">
        <v>100</v>
      </c>
      <c r="C14" s="48"/>
    </row>
    <row r="15" spans="1:3" ht="16.5">
      <c r="A15" s="48" t="s">
        <v>101</v>
      </c>
      <c r="C15" s="48"/>
    </row>
    <row r="16" spans="1:3" ht="16.5">
      <c r="A16" s="48" t="s">
        <v>109</v>
      </c>
      <c r="C16" s="48"/>
    </row>
    <row r="17" spans="1:3" ht="16.5">
      <c r="A17" s="48" t="s">
        <v>181</v>
      </c>
      <c r="C17" s="48"/>
    </row>
    <row r="18" spans="1:3" ht="16.5">
      <c r="A18" s="48"/>
      <c r="C18" s="48"/>
    </row>
    <row r="19" spans="1:3" ht="16.5">
      <c r="A19" s="48" t="s">
        <v>103</v>
      </c>
      <c r="C19" s="48"/>
    </row>
    <row r="20" spans="1:3" ht="16.5">
      <c r="A20" s="48" t="s">
        <v>104</v>
      </c>
      <c r="C20" s="48"/>
    </row>
    <row r="21" spans="1:3" ht="16.5">
      <c r="A21" s="48"/>
      <c r="C21" s="48"/>
    </row>
    <row r="22" spans="1:3" ht="16.5">
      <c r="A22" s="50" t="s">
        <v>182</v>
      </c>
      <c r="C22" s="48"/>
    </row>
    <row r="23" spans="1:3" ht="16.5">
      <c r="A23" s="50" t="s">
        <v>105</v>
      </c>
      <c r="C23" s="48"/>
    </row>
    <row r="24" spans="1:3" ht="16.5">
      <c r="A24" s="50" t="s">
        <v>106</v>
      </c>
      <c r="C24" s="48"/>
    </row>
    <row r="25" spans="1:3" ht="16.5">
      <c r="A25" s="50" t="s">
        <v>107</v>
      </c>
      <c r="C25" s="48"/>
    </row>
    <row r="26" spans="1:3" ht="16.5">
      <c r="C26" s="48"/>
    </row>
  </sheetData>
  <sheetProtection algorithmName="SHA-512" hashValue="+FwefRso/OEAAy5IWM+iusL3V/ts7WzjHov3cxaBJzRpgu8wNyOiTNAAXE2RAUgajGm2oTinEgzr9jFi4lvH+A==" saltValue="o6AQ9ua4kPEXH4KwEkQI2Q=="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workbookViewId="0">
      <selection activeCell="F6" sqref="F6"/>
    </sheetView>
  </sheetViews>
  <sheetFormatPr defaultRowHeight="14.25"/>
  <cols>
    <col min="1" max="1" width="39.42578125" style="21" bestFit="1" customWidth="1"/>
    <col min="2" max="2" width="26.28515625" style="21" bestFit="1" customWidth="1"/>
    <col min="3" max="3" width="35" style="21" customWidth="1"/>
    <col min="4" max="4" width="31.42578125" style="21" customWidth="1"/>
    <col min="5" max="5" width="30.42578125" style="21" bestFit="1" customWidth="1"/>
    <col min="6" max="6" width="28.140625" style="21" bestFit="1" customWidth="1"/>
    <col min="7" max="7" width="38.140625" style="21" customWidth="1"/>
    <col min="8" max="8" width="7.42578125" style="21" customWidth="1"/>
    <col min="9" max="9" width="8.140625" style="22" customWidth="1"/>
    <col min="10" max="16384" width="9.140625" style="21"/>
  </cols>
  <sheetData>
    <row r="1" spans="1:7" ht="25.5">
      <c r="A1" s="120" t="s">
        <v>0</v>
      </c>
      <c r="B1" s="120"/>
      <c r="C1" s="120"/>
      <c r="D1" s="120"/>
      <c r="E1" s="120"/>
      <c r="F1" s="120"/>
      <c r="G1" s="120"/>
    </row>
    <row r="2" spans="1:7" ht="15.75">
      <c r="A2" s="26" t="s">
        <v>1</v>
      </c>
      <c r="B2" s="27" t="s">
        <v>2</v>
      </c>
      <c r="C2" s="27" t="s">
        <v>3</v>
      </c>
      <c r="D2" s="27" t="s">
        <v>170</v>
      </c>
      <c r="E2" s="27" t="s">
        <v>228</v>
      </c>
      <c r="F2" s="27" t="s">
        <v>227</v>
      </c>
      <c r="G2" s="27" t="s">
        <v>226</v>
      </c>
    </row>
    <row r="3" spans="1:7" ht="15">
      <c r="A3" s="73" t="s">
        <v>4</v>
      </c>
      <c r="B3" s="73">
        <v>0</v>
      </c>
      <c r="C3" s="73">
        <v>0</v>
      </c>
      <c r="D3" s="74">
        <v>0</v>
      </c>
      <c r="E3" s="75">
        <v>0</v>
      </c>
      <c r="F3" s="75">
        <v>0</v>
      </c>
      <c r="G3" s="76">
        <v>0</v>
      </c>
    </row>
    <row r="4" spans="1:7" ht="15">
      <c r="A4" s="121" t="s">
        <v>174</v>
      </c>
      <c r="B4" s="121"/>
      <c r="C4" s="121"/>
      <c r="D4" s="121"/>
      <c r="E4" s="121"/>
      <c r="F4" s="121"/>
      <c r="G4" s="121"/>
    </row>
    <row r="5" spans="1:7" ht="15.75">
      <c r="A5" s="27" t="s">
        <v>5</v>
      </c>
      <c r="B5" s="27" t="s">
        <v>13</v>
      </c>
      <c r="C5" s="27" t="s">
        <v>6</v>
      </c>
      <c r="D5" s="27" t="s">
        <v>7</v>
      </c>
      <c r="E5" s="27" t="s">
        <v>172</v>
      </c>
      <c r="F5" s="27" t="s">
        <v>164</v>
      </c>
      <c r="G5" s="27" t="s">
        <v>171</v>
      </c>
    </row>
    <row r="6" spans="1:7" ht="15">
      <c r="A6" s="77" t="s">
        <v>9</v>
      </c>
      <c r="B6" s="77" t="s">
        <v>9</v>
      </c>
      <c r="C6" s="78">
        <v>4</v>
      </c>
      <c r="D6" s="78">
        <v>36</v>
      </c>
      <c r="E6" s="77" t="s">
        <v>54</v>
      </c>
      <c r="F6" s="77">
        <v>0</v>
      </c>
      <c r="G6" s="77" t="s">
        <v>26</v>
      </c>
    </row>
    <row r="9" spans="1:7" ht="20.25">
      <c r="A9" s="122" t="s">
        <v>67</v>
      </c>
      <c r="B9" s="124"/>
      <c r="C9" s="125"/>
      <c r="D9" s="127" t="s">
        <v>113</v>
      </c>
      <c r="E9" s="128"/>
      <c r="F9" s="128"/>
      <c r="G9" s="129"/>
    </row>
    <row r="10" spans="1:7" ht="15.75">
      <c r="A10" s="29" t="s">
        <v>158</v>
      </c>
      <c r="B10" s="31" t="str">
        <f>IF(ISNA(Parameters!Q30),"No Appliances Matches Criteria",Parameters!Q30)</f>
        <v>Nano-500</v>
      </c>
      <c r="C10" s="80" t="str">
        <f>Parameters!P31</f>
        <v>Based on Storage Required</v>
      </c>
      <c r="D10" s="131" t="s">
        <v>169</v>
      </c>
      <c r="E10" s="132"/>
      <c r="F10" s="132"/>
      <c r="G10" s="133"/>
    </row>
    <row r="11" spans="1:7" ht="15.75">
      <c r="A11" s="27" t="s">
        <v>68</v>
      </c>
      <c r="B11" s="32">
        <f>IF(ISNA(Parameters!P33),"",Parameters!P33)</f>
        <v>69</v>
      </c>
      <c r="C11" s="81"/>
      <c r="D11" s="134" t="s">
        <v>178</v>
      </c>
      <c r="E11" s="135"/>
      <c r="F11" s="135"/>
      <c r="G11" s="136"/>
    </row>
    <row r="12" spans="1:7" ht="15.75">
      <c r="A12" s="27" t="s">
        <v>69</v>
      </c>
      <c r="B12" s="33">
        <f>IF(ISNA(Parameters!Q33),"",Parameters!Q33)</f>
        <v>169</v>
      </c>
      <c r="C12" s="44" t="s">
        <v>222</v>
      </c>
      <c r="D12" s="134" t="s">
        <v>175</v>
      </c>
      <c r="E12" s="135"/>
      <c r="F12" s="135"/>
      <c r="G12" s="136"/>
    </row>
    <row r="13" spans="1:7" ht="15.75">
      <c r="A13" s="27" t="s">
        <v>18</v>
      </c>
      <c r="B13" s="34">
        <f>IF(ISNA(Parameters!P34),"",Parameters!P34)</f>
        <v>16</v>
      </c>
      <c r="C13" s="82">
        <f>IF(ISNUMBER(SEARCH("y*",E6)),2*F6,2) + 4 + (TRUNC( IF(B3+C3-1&lt;0,0,B3+C3-1)/5)+1)</f>
        <v>7</v>
      </c>
      <c r="D13" s="134" t="s">
        <v>108</v>
      </c>
      <c r="E13" s="135"/>
      <c r="F13" s="135"/>
      <c r="G13" s="136"/>
    </row>
    <row r="14" spans="1:7" ht="15.75">
      <c r="A14" s="27" t="s">
        <v>70</v>
      </c>
      <c r="B14" s="35">
        <f>IF(ISNA(Parameters!P36),"",Parameters!P36)</f>
        <v>2</v>
      </c>
      <c r="C14" s="88">
        <f>TRUNC(IF(ISNUMBER(SEARCH("y*",E6)),F6,1)+1+TRUNC((B3+C3)/12))</f>
        <v>2</v>
      </c>
      <c r="D14" s="134" t="s">
        <v>176</v>
      </c>
      <c r="E14" s="135"/>
      <c r="F14" s="135"/>
      <c r="G14" s="136"/>
    </row>
    <row r="15" spans="1:7" ht="15.75">
      <c r="A15" s="30" t="s">
        <v>14</v>
      </c>
      <c r="B15" s="36">
        <f>IF(ISNA(Parameters!P35),"",Parameters!P35)</f>
        <v>400</v>
      </c>
      <c r="C15" s="83">
        <f>A24</f>
        <v>0</v>
      </c>
      <c r="D15" s="134" t="s">
        <v>110</v>
      </c>
      <c r="E15" s="135"/>
      <c r="F15" s="135"/>
      <c r="G15" s="136"/>
    </row>
    <row r="16" spans="1:7" ht="15.75">
      <c r="A16" s="27" t="s">
        <v>23</v>
      </c>
      <c r="B16" s="37">
        <f>Parameters!P32</f>
        <v>10000</v>
      </c>
      <c r="C16" s="86" t="s">
        <v>186</v>
      </c>
      <c r="D16" s="137" t="s">
        <v>177</v>
      </c>
      <c r="E16" s="138"/>
      <c r="F16" s="138"/>
      <c r="G16" s="139"/>
    </row>
    <row r="17" spans="1:7" ht="15.75">
      <c r="A17" s="27" t="s">
        <v>24</v>
      </c>
      <c r="B17" s="37">
        <f>Parameters!Q32</f>
        <v>5000</v>
      </c>
      <c r="C17" s="67" t="s">
        <v>159</v>
      </c>
    </row>
    <row r="22" spans="1:7" ht="20.25">
      <c r="A22" s="122" t="s">
        <v>102</v>
      </c>
      <c r="B22" s="123"/>
      <c r="C22" s="123"/>
      <c r="D22" s="123"/>
      <c r="E22" s="123" t="s">
        <v>73</v>
      </c>
      <c r="F22" s="123"/>
      <c r="G22" s="126"/>
    </row>
    <row r="23" spans="1:7" ht="15.75">
      <c r="A23" s="38" t="s">
        <v>111</v>
      </c>
      <c r="B23" s="38" t="s">
        <v>112</v>
      </c>
      <c r="C23" s="38" t="s">
        <v>168</v>
      </c>
      <c r="D23" s="38" t="s">
        <v>225</v>
      </c>
      <c r="E23" s="29" t="s">
        <v>65</v>
      </c>
      <c r="F23" s="39" t="s">
        <v>66</v>
      </c>
      <c r="G23" s="27" t="s">
        <v>71</v>
      </c>
    </row>
    <row r="24" spans="1:7" ht="15.75">
      <c r="A24" s="66">
        <f>((D3*Parameters!C6) + (D3*Parameters!B6*C6)) / 1000</f>
        <v>0</v>
      </c>
      <c r="B24" s="40">
        <f>TRUNC(  ((D3*Parameters!C6) + (D3*Parameters!B6*D6)) / 1000 ) + 1</f>
        <v>1</v>
      </c>
      <c r="C24" s="41">
        <f>IF(ISNUMBER(SEARCH("y*",E6)),2*F6,2) + 4 + (TRUNC( IF(B3+C3-1&lt;0,0,B3+C3-1)/5)+1)</f>
        <v>7</v>
      </c>
      <c r="D24" s="42">
        <f>TRUNC(IF(ISNUMBER(SEARCH("y*",E6)),F6,1)+1+TRUNC((B3+C3)/12))</f>
        <v>2</v>
      </c>
      <c r="E24" s="32">
        <f>30*B3+5*C3</f>
        <v>0</v>
      </c>
      <c r="F24" s="43">
        <f>60*B3+15*C3</f>
        <v>0</v>
      </c>
      <c r="G24" s="32">
        <f>B11</f>
        <v>69</v>
      </c>
    </row>
    <row r="25" spans="1:7" ht="15.75">
      <c r="C25" s="38" t="s">
        <v>167</v>
      </c>
      <c r="D25" s="38" t="s">
        <v>55</v>
      </c>
      <c r="F25" s="44" t="s">
        <v>36</v>
      </c>
      <c r="G25" s="27" t="s">
        <v>72</v>
      </c>
    </row>
    <row r="26" spans="1:7" ht="15.75">
      <c r="C26" s="41">
        <f>IF(ISNUMBER(SEARCH("y*",E6)),2*F6,2) + 4 + (TRUNC( IF(B3+C3-1&lt;0,0,B3+C3-1)/5)+1)*2</f>
        <v>8</v>
      </c>
      <c r="D26" s="42">
        <f>D24/8</f>
        <v>0.25</v>
      </c>
      <c r="F26" s="34">
        <f>2000*B3+200*C3</f>
        <v>0</v>
      </c>
      <c r="G26" s="32">
        <f>B12</f>
        <v>169</v>
      </c>
    </row>
    <row r="27" spans="1:7" ht="15.75">
      <c r="C27" s="27" t="s">
        <v>223</v>
      </c>
      <c r="D27" s="38" t="s">
        <v>224</v>
      </c>
    </row>
    <row r="28" spans="1:7" ht="15.75">
      <c r="C28" s="41">
        <f>F3</f>
        <v>0</v>
      </c>
      <c r="D28" s="42">
        <f>G3</f>
        <v>0</v>
      </c>
    </row>
    <row r="30" spans="1:7" ht="20.25">
      <c r="A30" s="130" t="s">
        <v>179</v>
      </c>
      <c r="B30" s="130"/>
      <c r="C30" s="130"/>
      <c r="D30" s="130"/>
      <c r="E30" s="130"/>
      <c r="F30" s="45" t="s">
        <v>33</v>
      </c>
      <c r="G30" s="79" t="s">
        <v>27</v>
      </c>
    </row>
    <row r="31" spans="1:7" ht="15.75">
      <c r="A31" s="27"/>
      <c r="B31" s="27" t="s">
        <v>173</v>
      </c>
      <c r="C31" s="27" t="s">
        <v>59</v>
      </c>
      <c r="D31" s="27" t="s">
        <v>61</v>
      </c>
      <c r="E31" s="27" t="s">
        <v>36</v>
      </c>
      <c r="F31" s="27" t="s">
        <v>63</v>
      </c>
      <c r="G31" s="27" t="s">
        <v>64</v>
      </c>
    </row>
    <row r="32" spans="1:7" ht="15.75">
      <c r="A32" s="27" t="s">
        <v>56</v>
      </c>
      <c r="B32" s="31" t="s">
        <v>60</v>
      </c>
      <c r="C32" s="37">
        <v>1</v>
      </c>
      <c r="D32" s="41">
        <v>150</v>
      </c>
      <c r="E32" s="46"/>
      <c r="F32" s="46"/>
      <c r="G32" s="46"/>
    </row>
    <row r="33" spans="1:7" ht="15.75">
      <c r="A33" s="27" t="s">
        <v>57</v>
      </c>
      <c r="B33" s="37">
        <f>Parameters!U24</f>
        <v>1</v>
      </c>
      <c r="C33" s="37">
        <f>Parameters!P13</f>
        <v>4</v>
      </c>
      <c r="D33" s="41">
        <f>Parameters!P12</f>
        <v>500</v>
      </c>
      <c r="E33" s="41">
        <f>Parameters!P15</f>
        <v>1500</v>
      </c>
      <c r="F33" s="37">
        <f>Parameters!R4</f>
        <v>246</v>
      </c>
      <c r="G33" s="37">
        <f>Parameters!R5</f>
        <v>86</v>
      </c>
    </row>
    <row r="34" spans="1:7" ht="15.75">
      <c r="A34" s="27" t="s">
        <v>58</v>
      </c>
      <c r="B34" s="37">
        <f>Parameters!U25</f>
        <v>2</v>
      </c>
      <c r="C34" s="37">
        <f>Parameters!Q13</f>
        <v>8</v>
      </c>
      <c r="D34" s="41">
        <f>Parameters!Q12</f>
        <v>500</v>
      </c>
      <c r="E34" s="41">
        <f>Parameters!Q15</f>
        <v>3000</v>
      </c>
      <c r="F34" s="37">
        <f>Parameters!R7</f>
        <v>492</v>
      </c>
      <c r="G34" s="37">
        <f>Parameters!R8</f>
        <v>173</v>
      </c>
    </row>
  </sheetData>
  <sheetProtection algorithmName="SHA-512" hashValue="eyY5TnaOTLoL04Dmu8kwvKkBm3uNe6a/JyFcGNacHBKmW5abwjQ3MUfyURbAIzzvrNS55Fy+obri25oPeuoU5Q==" saltValue="2O7Og9R9mxNd0vkRDsY07w==" spinCount="100000" sheet="1" selectLockedCells="1"/>
  <mergeCells count="14">
    <mergeCell ref="A30:E30"/>
    <mergeCell ref="D10:G10"/>
    <mergeCell ref="D11:G11"/>
    <mergeCell ref="D12:G12"/>
    <mergeCell ref="D13:G13"/>
    <mergeCell ref="D14:G14"/>
    <mergeCell ref="D15:G15"/>
    <mergeCell ref="D16:G16"/>
    <mergeCell ref="A1:G1"/>
    <mergeCell ref="A4:G4"/>
    <mergeCell ref="A22:D22"/>
    <mergeCell ref="A9:C9"/>
    <mergeCell ref="E22:G22"/>
    <mergeCell ref="D9:G9"/>
  </mergeCells>
  <conditionalFormatting sqref="C14">
    <cfRule type="expression" dxfId="2" priority="3">
      <formula>$C$14&gt;$B$14*3+1</formula>
    </cfRule>
  </conditionalFormatting>
  <dataValidations count="5">
    <dataValidation type="whole" allowBlank="1" showInputMessage="1" showErrorMessage="1" sqref="B3:C3" xr:uid="{00000000-0002-0000-0200-000000000000}">
      <formula1>0</formula1>
      <formula2>999</formula2>
    </dataValidation>
    <dataValidation type="whole" allowBlank="1" showInputMessage="1" showErrorMessage="1" sqref="E3" xr:uid="{00000000-0002-0000-0200-000001000000}">
      <formula1>0</formula1>
      <formula2>100000</formula2>
    </dataValidation>
    <dataValidation type="whole" allowBlank="1" showInputMessage="1" showErrorMessage="1" sqref="F3" xr:uid="{00000000-0002-0000-0200-000002000000}">
      <formula1>0</formula1>
      <formula2>10000</formula2>
    </dataValidation>
    <dataValidation type="whole" allowBlank="1" showInputMessage="1" showErrorMessage="1" sqref="D3" xr:uid="{00000000-0002-0000-0200-000003000000}">
      <formula1>0</formula1>
      <formula2>10000000</formula2>
    </dataValidation>
    <dataValidation type="whole" allowBlank="1" showInputMessage="1" showErrorMessage="1" sqref="G3" xr:uid="{00000000-0002-0000-0200-000004000000}">
      <formula1>0</formula1>
      <formula2>9999</formula2>
    </dataValidation>
  </dataValidations>
  <pageMargins left="0.7" right="0.7" top="0.75" bottom="0.75" header="0.3" footer="0.3"/>
  <pageSetup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2" id="{00000000-000E-0000-0200-000001000000}">
            <xm:f>AND($F$6&gt;Parameters!$B$16,$E$6="Yes")</xm:f>
            <x14:dxf>
              <fill>
                <patternFill>
                  <bgColor rgb="FFFF0000"/>
                </patternFill>
              </fill>
            </x14:dxf>
          </x14:cfRule>
          <xm:sqref>C17</xm:sqref>
        </x14:conditionalFormatting>
        <x14:conditionalFormatting xmlns:xm="http://schemas.microsoft.com/office/excel/2006/main">
          <x14:cfRule type="expression" priority="1" id="{284715DF-38F3-434D-9326-57CE0B346DBF}">
            <xm:f>$B$3+$C$3&gt;Parameters!$B$17</xm:f>
            <x14:dxf>
              <font>
                <b/>
                <i val="0"/>
              </font>
              <fill>
                <patternFill>
                  <bgColor rgb="FFFF0000"/>
                </patternFill>
              </fill>
            </x14:dxf>
          </x14:cfRule>
          <xm:sqref>C16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5000000}">
          <x14:formula1>
            <xm:f>Parameters!$A$3:$A$5</xm:f>
          </x14:formula1>
          <xm:sqref>A6:B6</xm:sqref>
        </x14:dataValidation>
        <x14:dataValidation type="list" allowBlank="1" showInputMessage="1" showErrorMessage="1" xr:uid="{00000000-0002-0000-0200-000006000000}">
          <x14:formula1>
            <xm:f>Parameters!$D$9:$D$10</xm:f>
          </x14:formula1>
          <xm:sqref>E6</xm:sqref>
        </x14:dataValidation>
        <x14:dataValidation type="list" allowBlank="1" showInputMessage="1" showErrorMessage="1" xr:uid="{00000000-0002-0000-0200-000007000000}">
          <x14:formula1>
            <xm:f>Parameters!$B$13:$C$13</xm:f>
          </x14:formula1>
          <xm:sqref>G6</xm:sqref>
        </x14:dataValidation>
        <x14:dataValidation type="list" allowBlank="1" showInputMessage="1" showErrorMessage="1" xr:uid="{00000000-0002-0000-0200-000008000000}">
          <x14:formula1>
            <xm:f>Parameters!$T$28:$T$29</xm:f>
          </x14:formula1>
          <xm:sqref>G30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3EBA2-9A96-4B9A-8F79-472B6D4965F8}">
  <dimension ref="B1:F14"/>
  <sheetViews>
    <sheetView zoomScale="130" zoomScaleNormal="130" workbookViewId="0">
      <selection activeCell="A10" sqref="A10:XFD10"/>
    </sheetView>
  </sheetViews>
  <sheetFormatPr defaultColWidth="12.5703125" defaultRowHeight="15.75"/>
  <cols>
    <col min="1" max="1" width="5" style="90" customWidth="1"/>
    <col min="2" max="2" width="18.5703125" style="90" customWidth="1"/>
    <col min="3" max="3" width="38.7109375" style="90" customWidth="1"/>
    <col min="4" max="4" width="15.42578125" style="90" customWidth="1"/>
    <col min="5" max="5" width="52.28515625" style="91" customWidth="1"/>
    <col min="6" max="6" width="12.5703125" style="91"/>
    <col min="7" max="8" width="12.5703125" style="90"/>
    <col min="9" max="9" width="18.140625" style="90" bestFit="1" customWidth="1"/>
    <col min="10" max="16384" width="12.5703125" style="90"/>
  </cols>
  <sheetData>
    <row r="1" spans="2:6" ht="16.5" thickBot="1"/>
    <row r="2" spans="2:6" ht="30.75" thickBot="1">
      <c r="B2" s="92" t="s">
        <v>193</v>
      </c>
      <c r="C2" s="93" t="s">
        <v>194</v>
      </c>
      <c r="D2" s="93" t="s">
        <v>195</v>
      </c>
      <c r="E2" s="94" t="s">
        <v>196</v>
      </c>
      <c r="F2" s="94" t="s">
        <v>197</v>
      </c>
    </row>
    <row r="3" spans="2:6" ht="16.5" thickBot="1">
      <c r="B3" s="141" t="s">
        <v>198</v>
      </c>
      <c r="C3" s="141" t="s">
        <v>199</v>
      </c>
      <c r="D3" s="95" t="s">
        <v>200</v>
      </c>
      <c r="E3" s="96">
        <v>3</v>
      </c>
      <c r="F3" s="96" t="s">
        <v>54</v>
      </c>
    </row>
    <row r="4" spans="2:6" ht="33" customHeight="1" thickBot="1">
      <c r="B4" s="142"/>
      <c r="C4" s="142"/>
      <c r="D4" s="95" t="s">
        <v>201</v>
      </c>
      <c r="E4" s="96">
        <v>3</v>
      </c>
      <c r="F4" s="96" t="s">
        <v>54</v>
      </c>
    </row>
    <row r="5" spans="2:6" ht="35.1" customHeight="1" thickBot="1">
      <c r="B5" s="143"/>
      <c r="C5" s="143"/>
      <c r="D5" s="95" t="s">
        <v>163</v>
      </c>
      <c r="E5" s="96">
        <v>3</v>
      </c>
      <c r="F5" s="96" t="s">
        <v>202</v>
      </c>
    </row>
    <row r="6" spans="2:6" ht="30" customHeight="1" thickBot="1">
      <c r="B6" s="141" t="s">
        <v>203</v>
      </c>
      <c r="C6" s="141" t="s">
        <v>204</v>
      </c>
      <c r="D6" s="95" t="s">
        <v>205</v>
      </c>
      <c r="E6" s="96">
        <v>10</v>
      </c>
      <c r="F6" s="96" t="s">
        <v>206</v>
      </c>
    </row>
    <row r="7" spans="2:6" ht="30.75" thickBot="1">
      <c r="B7" s="142"/>
      <c r="C7" s="142"/>
      <c r="D7" s="95" t="s">
        <v>207</v>
      </c>
      <c r="E7" s="96">
        <v>10</v>
      </c>
      <c r="F7" s="96" t="s">
        <v>206</v>
      </c>
    </row>
    <row r="8" spans="2:6" ht="38.1" customHeight="1" thickBot="1">
      <c r="B8" s="143"/>
      <c r="C8" s="143"/>
      <c r="D8" s="95" t="s">
        <v>208</v>
      </c>
      <c r="E8" s="96">
        <v>10</v>
      </c>
      <c r="F8" s="96" t="s">
        <v>206</v>
      </c>
    </row>
    <row r="9" spans="2:6" ht="45.75" thickBot="1">
      <c r="B9" s="97" t="s">
        <v>209</v>
      </c>
      <c r="C9" s="95" t="s">
        <v>210</v>
      </c>
      <c r="D9" s="95" t="s">
        <v>211</v>
      </c>
      <c r="E9" s="96" t="s">
        <v>212</v>
      </c>
      <c r="F9" s="96" t="s">
        <v>213</v>
      </c>
    </row>
    <row r="10" spans="2:6" ht="60.75" thickBot="1">
      <c r="B10" s="97" t="s">
        <v>214</v>
      </c>
      <c r="C10" s="95" t="s">
        <v>215</v>
      </c>
      <c r="D10" s="95" t="s">
        <v>216</v>
      </c>
      <c r="E10" s="96" t="s">
        <v>212</v>
      </c>
      <c r="F10" s="96" t="s">
        <v>213</v>
      </c>
    </row>
    <row r="11" spans="2:6" ht="75.75" thickBot="1">
      <c r="B11" s="97" t="s">
        <v>217</v>
      </c>
      <c r="C11" s="95" t="s">
        <v>218</v>
      </c>
      <c r="D11" s="95" t="s">
        <v>219</v>
      </c>
      <c r="E11" s="96" t="s">
        <v>212</v>
      </c>
      <c r="F11" s="96" t="s">
        <v>213</v>
      </c>
    </row>
    <row r="13" spans="2:6" ht="92.1" customHeight="1">
      <c r="B13" s="140" t="s">
        <v>220</v>
      </c>
      <c r="C13" s="140"/>
      <c r="D13" s="140"/>
      <c r="E13" s="140"/>
    </row>
    <row r="14" spans="2:6">
      <c r="B14" s="140" t="s">
        <v>221</v>
      </c>
      <c r="C14" s="140"/>
      <c r="D14" s="140"/>
      <c r="E14" s="140"/>
    </row>
  </sheetData>
  <sheetProtection algorithmName="SHA-512" hashValue="/uD5w/ZpjoX7lgaayMkDwAyf536oGgeuni+7wfZMDFpQIQAKalHDmSW4f03rxfvB3dTSpxJFW6jqAkpndqRCRw==" saltValue="p+U7ODyzEt2IruYk2OW5qA==" spinCount="100000" sheet="1" objects="1" scenarios="1" selectLockedCells="1"/>
  <mergeCells count="6">
    <mergeCell ref="B14:E14"/>
    <mergeCell ref="B3:B5"/>
    <mergeCell ref="C3:C5"/>
    <mergeCell ref="B6:B8"/>
    <mergeCell ref="C6:C8"/>
    <mergeCell ref="B13:E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49"/>
  <sheetViews>
    <sheetView workbookViewId="0">
      <selection activeCell="S31" sqref="S31"/>
    </sheetView>
  </sheetViews>
  <sheetFormatPr defaultRowHeight="15"/>
  <cols>
    <col min="1" max="1" width="24.5703125" bestFit="1" customWidth="1"/>
    <col min="3" max="3" width="9.7109375" bestFit="1" customWidth="1"/>
    <col min="4" max="4" width="13.7109375" bestFit="1" customWidth="1"/>
    <col min="6" max="7" width="10" bestFit="1" customWidth="1"/>
    <col min="8" max="8" width="10.7109375" bestFit="1" customWidth="1"/>
    <col min="9" max="10" width="12.7109375" bestFit="1" customWidth="1"/>
    <col min="11" max="11" width="16.28515625" customWidth="1"/>
    <col min="12" max="12" width="13.85546875" bestFit="1" customWidth="1"/>
    <col min="13" max="13" width="12.42578125" bestFit="1" customWidth="1"/>
    <col min="14" max="14" width="10.28515625" bestFit="1" customWidth="1"/>
    <col min="15" max="15" width="16.5703125" bestFit="1" customWidth="1"/>
    <col min="16" max="18" width="12.42578125" bestFit="1" customWidth="1"/>
    <col min="19" max="19" width="10.42578125" customWidth="1"/>
  </cols>
  <sheetData>
    <row r="2" spans="1:19">
      <c r="A2" s="4" t="s">
        <v>14</v>
      </c>
      <c r="B2" s="4" t="s">
        <v>15</v>
      </c>
      <c r="C2" s="4" t="s">
        <v>16</v>
      </c>
      <c r="F2" s="157" t="s">
        <v>25</v>
      </c>
      <c r="G2" s="157"/>
      <c r="I2" s="157" t="s">
        <v>22</v>
      </c>
      <c r="J2" s="157"/>
      <c r="K2" s="157"/>
      <c r="L2" s="157"/>
      <c r="M2" s="157"/>
      <c r="O2" s="157" t="s">
        <v>40</v>
      </c>
      <c r="P2" s="157"/>
      <c r="Q2" s="157"/>
      <c r="R2" s="157"/>
    </row>
    <row r="3" spans="1:19">
      <c r="A3" s="2" t="s">
        <v>8</v>
      </c>
      <c r="B3" s="2">
        <v>0.1</v>
      </c>
      <c r="C3" s="8">
        <v>0.9</v>
      </c>
      <c r="F3" s="1" t="s">
        <v>26</v>
      </c>
      <c r="G3" s="1" t="s">
        <v>27</v>
      </c>
      <c r="I3" s="1" t="s">
        <v>28</v>
      </c>
      <c r="J3" s="1" t="s">
        <v>29</v>
      </c>
      <c r="K3" s="1" t="s">
        <v>30</v>
      </c>
      <c r="L3" s="1" t="s">
        <v>31</v>
      </c>
      <c r="M3" s="1" t="s">
        <v>32</v>
      </c>
      <c r="O3" s="17" t="s">
        <v>51</v>
      </c>
      <c r="P3" s="1" t="s">
        <v>43</v>
      </c>
      <c r="Q3" s="1" t="s">
        <v>27</v>
      </c>
      <c r="R3" s="1" t="s">
        <v>11</v>
      </c>
    </row>
    <row r="4" spans="1:19">
      <c r="A4" s="2" t="s">
        <v>9</v>
      </c>
      <c r="B4" s="2">
        <v>0.16</v>
      </c>
      <c r="C4" s="8">
        <v>0.75</v>
      </c>
      <c r="F4" s="11">
        <v>2000</v>
      </c>
      <c r="G4" s="11">
        <v>8000</v>
      </c>
      <c r="I4" s="2">
        <v>0</v>
      </c>
      <c r="J4" s="2">
        <v>10000</v>
      </c>
      <c r="K4" s="2">
        <v>5000</v>
      </c>
      <c r="L4" s="2">
        <v>82</v>
      </c>
      <c r="M4" s="2">
        <v>30</v>
      </c>
      <c r="O4" s="1" t="s">
        <v>41</v>
      </c>
      <c r="P4" s="6">
        <f>INDEX(J5:J16,U24)</f>
        <v>30000</v>
      </c>
      <c r="Q4" s="6">
        <f>INDEX(L5:L16,U24)</f>
        <v>246</v>
      </c>
      <c r="R4" s="6">
        <f>INDEX(P4:Q4,1,U22)</f>
        <v>246</v>
      </c>
    </row>
    <row r="5" spans="1:19">
      <c r="A5" s="2" t="s">
        <v>10</v>
      </c>
      <c r="B5" s="2">
        <v>0.24</v>
      </c>
      <c r="C5" s="8">
        <v>0.5</v>
      </c>
      <c r="F5" s="11">
        <v>1000</v>
      </c>
      <c r="G5" s="11">
        <v>6000</v>
      </c>
      <c r="I5" s="2">
        <v>1</v>
      </c>
      <c r="J5" s="2">
        <v>30000</v>
      </c>
      <c r="K5" s="2">
        <v>10000</v>
      </c>
      <c r="L5" s="2">
        <v>246</v>
      </c>
      <c r="M5" s="2">
        <v>86</v>
      </c>
      <c r="O5" s="1" t="s">
        <v>42</v>
      </c>
      <c r="P5" s="6">
        <f>INDEX(K5:K16,U24)</f>
        <v>10000</v>
      </c>
      <c r="Q5" s="6">
        <f>INDEX(M5:M16,U24)</f>
        <v>86</v>
      </c>
      <c r="R5" s="6">
        <f>INDEX(P5:Q5,1,U22)</f>
        <v>86</v>
      </c>
    </row>
    <row r="6" spans="1:19">
      <c r="A6" s="5" t="s">
        <v>11</v>
      </c>
      <c r="B6" s="6">
        <f>INDEX(B3:B5,B7)</f>
        <v>0.16</v>
      </c>
      <c r="C6" s="9">
        <f>INDEX(C3:C5,C7)</f>
        <v>0.75</v>
      </c>
      <c r="F6" s="11">
        <v>750</v>
      </c>
      <c r="G6" s="11">
        <v>4000</v>
      </c>
      <c r="I6" s="2">
        <v>2</v>
      </c>
      <c r="J6" s="2">
        <v>60000</v>
      </c>
      <c r="K6" s="2">
        <v>20000</v>
      </c>
      <c r="L6" s="2">
        <v>492</v>
      </c>
      <c r="M6" s="2">
        <v>173</v>
      </c>
      <c r="O6" s="17" t="s">
        <v>52</v>
      </c>
      <c r="P6" s="1" t="s">
        <v>43</v>
      </c>
      <c r="Q6" s="1" t="s">
        <v>27</v>
      </c>
      <c r="R6" s="1" t="s">
        <v>11</v>
      </c>
    </row>
    <row r="7" spans="1:19">
      <c r="A7" s="5" t="s">
        <v>12</v>
      </c>
      <c r="B7" s="6">
        <f>MATCH('BDR Sizing Workbook'!A6,A3:A5,0)</f>
        <v>2</v>
      </c>
      <c r="C7" s="6">
        <f>MATCH('BDR Sizing Workbook'!B6,A3:A5,0)</f>
        <v>2</v>
      </c>
      <c r="F7" s="11">
        <v>500</v>
      </c>
      <c r="G7" s="11">
        <v>3000</v>
      </c>
      <c r="I7" s="2">
        <v>3</v>
      </c>
      <c r="J7" s="2">
        <v>90000</v>
      </c>
      <c r="K7" s="2">
        <v>30000</v>
      </c>
      <c r="L7" s="2">
        <v>738</v>
      </c>
      <c r="M7" s="2">
        <v>259</v>
      </c>
      <c r="O7" s="1" t="s">
        <v>41</v>
      </c>
      <c r="P7" s="6">
        <f>INDEX(J5:J16,U25)</f>
        <v>60000</v>
      </c>
      <c r="Q7" s="6">
        <f>INDEX(L5:L16,U25)</f>
        <v>492</v>
      </c>
      <c r="R7" s="6">
        <f>INDEX(P7:Q7,1,U22)</f>
        <v>492</v>
      </c>
    </row>
    <row r="8" spans="1:19">
      <c r="D8" s="1" t="s">
        <v>114</v>
      </c>
      <c r="F8" s="11">
        <v>250</v>
      </c>
      <c r="G8" s="11">
        <v>2000</v>
      </c>
      <c r="I8" s="2">
        <v>4</v>
      </c>
      <c r="J8" s="2">
        <v>120000</v>
      </c>
      <c r="K8" s="2">
        <v>40000</v>
      </c>
      <c r="L8" s="2">
        <v>985</v>
      </c>
      <c r="M8" s="2">
        <v>346</v>
      </c>
      <c r="O8" s="1" t="s">
        <v>42</v>
      </c>
      <c r="P8" s="6">
        <f>INDEX(K5:K16,U25)</f>
        <v>20000</v>
      </c>
      <c r="Q8" s="6">
        <f>INDEX(M5:M16,U25)</f>
        <v>173</v>
      </c>
      <c r="R8" s="6">
        <f>INDEX(P8:Q8,1,U22)</f>
        <v>173</v>
      </c>
    </row>
    <row r="9" spans="1:19">
      <c r="A9" s="1" t="s">
        <v>36</v>
      </c>
      <c r="B9" s="10">
        <f>'BDR Sizing Workbook'!A24</f>
        <v>0</v>
      </c>
      <c r="D9" s="47" t="s">
        <v>53</v>
      </c>
      <c r="F9" s="12">
        <v>128</v>
      </c>
      <c r="G9" s="12">
        <v>1000</v>
      </c>
      <c r="I9" s="2">
        <v>5</v>
      </c>
      <c r="J9" s="2">
        <v>150000</v>
      </c>
      <c r="K9" s="2">
        <v>50000</v>
      </c>
      <c r="L9" s="2">
        <v>1231</v>
      </c>
      <c r="M9" s="2">
        <v>432</v>
      </c>
      <c r="S9" s="3"/>
    </row>
    <row r="10" spans="1:19">
      <c r="A10" s="1" t="s">
        <v>49</v>
      </c>
      <c r="B10" s="15">
        <f>'BDR Sizing Workbook'!C13</f>
        <v>7</v>
      </c>
      <c r="D10" s="2" t="s">
        <v>54</v>
      </c>
      <c r="F10" s="12">
        <v>64</v>
      </c>
      <c r="G10" s="12">
        <v>500</v>
      </c>
      <c r="I10" s="2">
        <v>6</v>
      </c>
      <c r="J10" s="2">
        <v>180000</v>
      </c>
      <c r="K10" s="2">
        <v>60000</v>
      </c>
      <c r="L10" s="2">
        <v>1477</v>
      </c>
      <c r="M10" s="2">
        <v>519</v>
      </c>
      <c r="O10" s="157" t="s">
        <v>47</v>
      </c>
      <c r="P10" s="157"/>
      <c r="Q10" s="158"/>
    </row>
    <row r="11" spans="1:19">
      <c r="A11" s="1" t="s">
        <v>160</v>
      </c>
      <c r="B11" s="68">
        <f>'BDR Sizing Workbook'!C14</f>
        <v>2</v>
      </c>
      <c r="I11" s="19">
        <v>7</v>
      </c>
      <c r="J11" s="19">
        <v>210000</v>
      </c>
      <c r="K11" s="19">
        <v>70000</v>
      </c>
      <c r="L11" s="19">
        <v>1723</v>
      </c>
      <c r="M11" s="19">
        <v>610</v>
      </c>
      <c r="O11" s="1" t="s">
        <v>44</v>
      </c>
      <c r="P11" s="70" t="str">
        <f>INDEX(T28:T29,U22)</f>
        <v>HDD</v>
      </c>
      <c r="Q11" s="72" t="s">
        <v>50</v>
      </c>
    </row>
    <row r="12" spans="1:19">
      <c r="E12" s="147" t="s">
        <v>166</v>
      </c>
      <c r="F12" s="148"/>
      <c r="G12" s="149"/>
      <c r="I12" s="19">
        <v>8</v>
      </c>
      <c r="J12" s="19">
        <v>240000</v>
      </c>
      <c r="K12" s="19">
        <v>80000</v>
      </c>
      <c r="L12" s="19">
        <v>1969</v>
      </c>
      <c r="M12" s="19">
        <v>698</v>
      </c>
      <c r="O12" s="1" t="s">
        <v>45</v>
      </c>
      <c r="P12" s="15">
        <f>IF(U22=1,INDEX(F4:F10,P14),INDEX(G4:G10,P14))</f>
        <v>500</v>
      </c>
      <c r="Q12" s="71">
        <f>IF(U22=1,INDEX(F4:F10,Q14),INDEX(G4:G10,Q14))</f>
        <v>500</v>
      </c>
    </row>
    <row r="13" spans="1:19">
      <c r="A13" s="1" t="s">
        <v>161</v>
      </c>
      <c r="B13" s="2" t="s">
        <v>26</v>
      </c>
      <c r="C13" s="2" t="s">
        <v>162</v>
      </c>
      <c r="E13" s="150" t="s">
        <v>156</v>
      </c>
      <c r="F13" s="151"/>
      <c r="G13" s="152"/>
      <c r="I13" s="19">
        <v>9</v>
      </c>
      <c r="J13" s="19">
        <v>270000</v>
      </c>
      <c r="K13" s="19">
        <v>90000</v>
      </c>
      <c r="L13" s="19">
        <v>2215</v>
      </c>
      <c r="M13" s="19">
        <v>778</v>
      </c>
      <c r="O13" s="1" t="s">
        <v>46</v>
      </c>
      <c r="P13" s="6">
        <f>4*U24</f>
        <v>4</v>
      </c>
      <c r="Q13" s="6">
        <f>4*U25</f>
        <v>8</v>
      </c>
    </row>
    <row r="14" spans="1:19">
      <c r="A14" s="1" t="s">
        <v>11</v>
      </c>
      <c r="B14" s="2" t="str">
        <f>'BDR Sizing Workbook'!G6</f>
        <v>SSD</v>
      </c>
      <c r="E14" s="150" t="s">
        <v>157</v>
      </c>
      <c r="F14" s="151"/>
      <c r="G14" s="152"/>
      <c r="I14" s="19">
        <v>10</v>
      </c>
      <c r="J14" s="19">
        <v>300000</v>
      </c>
      <c r="K14" s="19">
        <v>100000</v>
      </c>
      <c r="L14" s="19">
        <v>2462</v>
      </c>
      <c r="M14" s="19">
        <v>865</v>
      </c>
      <c r="O14" s="13" t="s">
        <v>11</v>
      </c>
      <c r="P14" s="14">
        <f>IF(U22=1,MATCH(U26,F4:F10,-1),MATCH(U26,G4:G10,-1))</f>
        <v>7</v>
      </c>
      <c r="Q14" s="14">
        <f>IF(U22=1,MATCH(U27,F4:F10,-1),MATCH(U27,G4:G10,-1))</f>
        <v>7</v>
      </c>
    </row>
    <row r="15" spans="1:19">
      <c r="E15" s="150" t="s">
        <v>191</v>
      </c>
      <c r="F15" s="151"/>
      <c r="G15" s="152"/>
      <c r="I15" s="19">
        <v>11</v>
      </c>
      <c r="J15" s="19">
        <v>330000</v>
      </c>
      <c r="K15" s="19">
        <v>110000</v>
      </c>
      <c r="L15" s="19">
        <v>2708</v>
      </c>
      <c r="M15" s="19">
        <v>951</v>
      </c>
      <c r="O15" s="1" t="s">
        <v>62</v>
      </c>
      <c r="P15" s="15">
        <f>(P13-U24)*P12</f>
        <v>1500</v>
      </c>
      <c r="Q15" s="15">
        <f>(Q13-U25)*Q12</f>
        <v>3000</v>
      </c>
    </row>
    <row r="16" spans="1:19">
      <c r="A16" s="1" t="s">
        <v>189</v>
      </c>
      <c r="B16" s="84">
        <f>INDEX(J20:J42,P30)</f>
        <v>0</v>
      </c>
      <c r="C16" s="89">
        <f>IF('BDR Sizing Workbook'!E6="Yes",'BDR Sizing Workbook'!F6,0)</f>
        <v>0</v>
      </c>
      <c r="E16" s="150" t="s">
        <v>192</v>
      </c>
      <c r="F16" s="151"/>
      <c r="G16" s="152"/>
      <c r="I16" s="19">
        <v>12</v>
      </c>
      <c r="J16" s="19">
        <v>360000</v>
      </c>
      <c r="K16" s="19">
        <v>120000</v>
      </c>
      <c r="L16" s="19">
        <v>2954</v>
      </c>
      <c r="M16" s="19">
        <v>1038</v>
      </c>
    </row>
    <row r="17" spans="1:21">
      <c r="A17" s="1" t="s">
        <v>190</v>
      </c>
      <c r="B17" s="84">
        <f>INDEX(L20:L42,P30)</f>
        <v>3</v>
      </c>
      <c r="C17" s="84">
        <f>'BDR Sizing Workbook'!B3+'BDR Sizing Workbook'!C3</f>
        <v>0</v>
      </c>
      <c r="E17" s="150"/>
      <c r="F17" s="151"/>
      <c r="G17" s="152"/>
      <c r="I17" s="87"/>
      <c r="J17" s="87"/>
      <c r="K17" s="87"/>
      <c r="L17" s="87"/>
      <c r="M17" s="87"/>
    </row>
    <row r="19" spans="1:21">
      <c r="A19" s="51" t="s">
        <v>120</v>
      </c>
      <c r="B19" s="51" t="s">
        <v>17</v>
      </c>
      <c r="C19" s="51" t="s">
        <v>121</v>
      </c>
      <c r="D19" s="51" t="s">
        <v>18</v>
      </c>
      <c r="E19" s="51" t="s">
        <v>122</v>
      </c>
      <c r="F19" s="51" t="s">
        <v>123</v>
      </c>
      <c r="G19" s="51" t="s">
        <v>124</v>
      </c>
      <c r="H19" s="51" t="s">
        <v>125</v>
      </c>
      <c r="I19" s="51" t="s">
        <v>70</v>
      </c>
      <c r="J19" s="51" t="s">
        <v>184</v>
      </c>
      <c r="K19" s="51" t="s">
        <v>187</v>
      </c>
      <c r="L19" s="51" t="s">
        <v>185</v>
      </c>
      <c r="M19" s="51" t="s">
        <v>188</v>
      </c>
      <c r="O19" s="154" t="s">
        <v>165</v>
      </c>
      <c r="P19" s="155"/>
      <c r="Q19" s="155"/>
      <c r="R19" s="156"/>
      <c r="T19" s="157" t="s">
        <v>28</v>
      </c>
      <c r="U19" s="157"/>
    </row>
    <row r="20" spans="1:21">
      <c r="A20" s="64" t="s">
        <v>126</v>
      </c>
      <c r="B20" s="52">
        <v>36</v>
      </c>
      <c r="C20" s="64">
        <v>6</v>
      </c>
      <c r="D20" s="11">
        <v>64</v>
      </c>
      <c r="E20" s="64">
        <v>1</v>
      </c>
      <c r="F20" s="64">
        <v>1</v>
      </c>
      <c r="G20" s="53">
        <v>2499</v>
      </c>
      <c r="H20" s="53">
        <v>3699</v>
      </c>
      <c r="I20" s="64">
        <v>8</v>
      </c>
      <c r="J20" s="84">
        <v>16</v>
      </c>
      <c r="K20" s="84">
        <v>1</v>
      </c>
      <c r="L20" s="84">
        <v>999</v>
      </c>
      <c r="M20" s="84">
        <v>1</v>
      </c>
      <c r="N20" s="69">
        <v>1</v>
      </c>
      <c r="O20" s="63" t="s">
        <v>145</v>
      </c>
      <c r="P20" s="2">
        <f>IF(B14="SSD",INDEX(U34:U46, MATCH(B9,T34:T46,-1)),INDEX(V34:V46, MATCH(B9,T34:T46,-1)))</f>
        <v>23</v>
      </c>
      <c r="Q20" s="153" t="str">
        <f>INDEX(A20:A42,P20)</f>
        <v>Nano-500</v>
      </c>
      <c r="R20" s="153"/>
      <c r="T20" s="1" t="s">
        <v>38</v>
      </c>
      <c r="U20" s="7">
        <v>6</v>
      </c>
    </row>
    <row r="21" spans="1:21">
      <c r="A21" s="64" t="s">
        <v>127</v>
      </c>
      <c r="B21" s="52">
        <v>30</v>
      </c>
      <c r="C21" s="64">
        <v>5</v>
      </c>
      <c r="D21" s="11">
        <v>64</v>
      </c>
      <c r="E21" s="64">
        <v>2</v>
      </c>
      <c r="F21" s="64">
        <v>2</v>
      </c>
      <c r="G21" s="53">
        <v>2099</v>
      </c>
      <c r="H21" s="53">
        <v>3099</v>
      </c>
      <c r="I21" s="64">
        <v>8</v>
      </c>
      <c r="J21" s="84">
        <v>16</v>
      </c>
      <c r="K21" s="84">
        <v>2</v>
      </c>
      <c r="L21" s="84">
        <v>999</v>
      </c>
      <c r="M21" s="84">
        <v>2</v>
      </c>
      <c r="N21" s="69">
        <v>2</v>
      </c>
      <c r="O21" s="63" t="s">
        <v>146</v>
      </c>
      <c r="P21" s="2">
        <f>IF(   AND(B10&gt;INDEX(D20:D42,P20),P20&gt;19,B14="Hybrid"), 13,IF(B10&lt;=INDEX(D20:D42,P20),P20,INDEX(F20:F42,P20)))</f>
        <v>23</v>
      </c>
      <c r="Q21" s="153" t="str">
        <f>INDEX(A20:A42,P21)</f>
        <v>Nano-500</v>
      </c>
      <c r="R21" s="153"/>
      <c r="T21" s="1" t="s">
        <v>39</v>
      </c>
      <c r="U21" s="7">
        <v>24</v>
      </c>
    </row>
    <row r="22" spans="1:21">
      <c r="A22" s="64" t="s">
        <v>128</v>
      </c>
      <c r="B22" s="52">
        <v>24</v>
      </c>
      <c r="C22" s="64">
        <v>4</v>
      </c>
      <c r="D22" s="11">
        <v>64</v>
      </c>
      <c r="E22" s="64">
        <v>3</v>
      </c>
      <c r="F22" s="64">
        <v>3</v>
      </c>
      <c r="G22" s="53">
        <v>1799</v>
      </c>
      <c r="H22" s="53">
        <v>2499</v>
      </c>
      <c r="I22" s="64">
        <v>8</v>
      </c>
      <c r="J22" s="84">
        <v>16</v>
      </c>
      <c r="K22" s="84">
        <v>3</v>
      </c>
      <c r="L22" s="84">
        <v>999</v>
      </c>
      <c r="M22" s="84">
        <v>3</v>
      </c>
      <c r="N22" s="69">
        <v>3</v>
      </c>
      <c r="O22" s="63" t="s">
        <v>146</v>
      </c>
      <c r="P22" s="2">
        <f>IF(B10&lt;=INDEX(D20:D42,P21),P21,INDEX(F20:F42,P21))</f>
        <v>23</v>
      </c>
      <c r="Q22" s="153" t="str">
        <f>INDEX(A20:A42,P22)</f>
        <v>Nano-500</v>
      </c>
      <c r="R22" s="153"/>
      <c r="T22" s="1" t="s">
        <v>11</v>
      </c>
      <c r="U22" s="6">
        <f>MATCH('BDR Sizing Workbook'!G30,T28:T29,0)</f>
        <v>2</v>
      </c>
    </row>
    <row r="23" spans="1:21">
      <c r="A23" s="54" t="s">
        <v>129</v>
      </c>
      <c r="B23" s="55">
        <v>17.989999999999998</v>
      </c>
      <c r="C23" s="54">
        <v>3</v>
      </c>
      <c r="D23" s="56">
        <v>64</v>
      </c>
      <c r="E23" s="64">
        <v>4</v>
      </c>
      <c r="F23" s="64">
        <v>4</v>
      </c>
      <c r="G23" s="53">
        <v>1299</v>
      </c>
      <c r="H23" s="53">
        <v>1899</v>
      </c>
      <c r="I23" s="64">
        <v>8</v>
      </c>
      <c r="J23" s="84">
        <v>16</v>
      </c>
      <c r="K23" s="84">
        <v>4</v>
      </c>
      <c r="L23" s="84">
        <v>999</v>
      </c>
      <c r="M23" s="84">
        <v>4</v>
      </c>
      <c r="N23" s="69">
        <v>4</v>
      </c>
      <c r="O23" s="63" t="s">
        <v>146</v>
      </c>
      <c r="P23" s="2">
        <f>IF(B10&lt;=INDEX(D20:D42,P22),P22,INDEX(F20:F42,P22))</f>
        <v>23</v>
      </c>
      <c r="Q23" s="153" t="str">
        <f>INDEX(A20:A42,P23)</f>
        <v>Nano-500</v>
      </c>
      <c r="R23" s="153"/>
      <c r="T23" s="1" t="s">
        <v>37</v>
      </c>
      <c r="U23" s="10">
        <f>INDEX(U20:U21,U22)</f>
        <v>24</v>
      </c>
    </row>
    <row r="24" spans="1:21">
      <c r="A24" s="19" t="s">
        <v>19</v>
      </c>
      <c r="B24" s="60">
        <v>17.97</v>
      </c>
      <c r="C24" s="19">
        <v>6</v>
      </c>
      <c r="D24" s="12">
        <v>128</v>
      </c>
      <c r="E24" s="64">
        <v>5</v>
      </c>
      <c r="F24" s="64">
        <v>5</v>
      </c>
      <c r="G24" s="53">
        <v>1299</v>
      </c>
      <c r="H24" s="53">
        <v>1899</v>
      </c>
      <c r="I24" s="64">
        <v>8</v>
      </c>
      <c r="J24" s="84">
        <v>24</v>
      </c>
      <c r="K24" s="84">
        <v>5</v>
      </c>
      <c r="L24" s="84">
        <v>999</v>
      </c>
      <c r="M24" s="84">
        <v>5</v>
      </c>
      <c r="N24" s="69">
        <v>5</v>
      </c>
      <c r="O24" s="63" t="s">
        <v>146</v>
      </c>
      <c r="P24" s="2">
        <f>IF(B10&lt;=INDEX(D20:D42,P23),P23,INDEX(F20:F42,P23))</f>
        <v>23</v>
      </c>
      <c r="Q24" s="153" t="str">
        <f>INDEX(A20:A42,P24)</f>
        <v>Nano-500</v>
      </c>
      <c r="R24" s="153"/>
      <c r="T24" s="1" t="s">
        <v>35</v>
      </c>
      <c r="U24" s="6">
        <f>TRUNC( B9/U23) + 1</f>
        <v>1</v>
      </c>
    </row>
    <row r="25" spans="1:21">
      <c r="A25" s="19" t="s">
        <v>130</v>
      </c>
      <c r="B25" s="60">
        <v>15</v>
      </c>
      <c r="C25" s="19">
        <v>5</v>
      </c>
      <c r="D25" s="12">
        <v>64</v>
      </c>
      <c r="E25" s="64">
        <v>6</v>
      </c>
      <c r="F25" s="19">
        <v>7</v>
      </c>
      <c r="G25" s="53">
        <v>1099</v>
      </c>
      <c r="H25" s="53">
        <v>1599</v>
      </c>
      <c r="I25" s="64">
        <v>8</v>
      </c>
      <c r="J25" s="84">
        <v>24</v>
      </c>
      <c r="K25" s="84">
        <v>6</v>
      </c>
      <c r="L25" s="84">
        <v>999</v>
      </c>
      <c r="M25" s="84">
        <v>6</v>
      </c>
      <c r="N25" s="69">
        <v>6</v>
      </c>
      <c r="O25" s="63" t="s">
        <v>147</v>
      </c>
      <c r="P25" s="2">
        <f>IF(B10&lt;=INDEX(D20:D42,P24),P24,INDEX(F20:F42,P24))</f>
        <v>23</v>
      </c>
      <c r="Q25" s="153" t="str">
        <f>INDEX(A20:A42,P25)</f>
        <v>Nano-500</v>
      </c>
      <c r="R25" s="153"/>
      <c r="T25" s="1" t="s">
        <v>50</v>
      </c>
      <c r="U25" s="6">
        <f>U24+1</f>
        <v>2</v>
      </c>
    </row>
    <row r="26" spans="1:21">
      <c r="A26" s="47" t="s">
        <v>131</v>
      </c>
      <c r="B26" s="61">
        <v>15</v>
      </c>
      <c r="C26" s="47">
        <v>5</v>
      </c>
      <c r="D26" s="62">
        <v>128</v>
      </c>
      <c r="E26" s="64">
        <v>7</v>
      </c>
      <c r="F26" s="19">
        <v>7</v>
      </c>
      <c r="G26" s="53">
        <v>899</v>
      </c>
      <c r="H26" s="53">
        <v>1599</v>
      </c>
      <c r="I26" s="64">
        <v>8</v>
      </c>
      <c r="J26" s="84">
        <v>24</v>
      </c>
      <c r="K26" s="84">
        <v>7</v>
      </c>
      <c r="L26" s="84">
        <v>999</v>
      </c>
      <c r="M26" s="84">
        <v>7</v>
      </c>
      <c r="N26" s="69">
        <v>7</v>
      </c>
      <c r="O26" s="63" t="s">
        <v>184</v>
      </c>
      <c r="P26" s="84">
        <f>IF(C16&gt;INDEX(J20:J42,P25),INDEX(K20:K42,P25),P25)</f>
        <v>23</v>
      </c>
      <c r="Q26" s="153" t="str">
        <f>INDEX(A20:A42,P26)</f>
        <v>Nano-500</v>
      </c>
      <c r="R26" s="153"/>
      <c r="T26" s="1" t="s">
        <v>48</v>
      </c>
      <c r="U26" s="15">
        <f>(B9/(3*U24))*1000</f>
        <v>0</v>
      </c>
    </row>
    <row r="27" spans="1:21">
      <c r="A27" s="64" t="s">
        <v>132</v>
      </c>
      <c r="B27" s="52">
        <v>12</v>
      </c>
      <c r="C27" s="64">
        <v>2</v>
      </c>
      <c r="D27" s="11">
        <v>64</v>
      </c>
      <c r="E27" s="64">
        <v>8</v>
      </c>
      <c r="F27" s="19">
        <v>10</v>
      </c>
      <c r="G27" s="53">
        <v>899</v>
      </c>
      <c r="H27" s="53">
        <v>1299</v>
      </c>
      <c r="I27" s="64">
        <v>8</v>
      </c>
      <c r="J27" s="84">
        <v>16</v>
      </c>
      <c r="K27" s="84">
        <v>10</v>
      </c>
      <c r="L27" s="84">
        <v>999</v>
      </c>
      <c r="M27" s="84">
        <v>8</v>
      </c>
      <c r="N27" s="69">
        <v>8</v>
      </c>
      <c r="O27" s="63" t="s">
        <v>184</v>
      </c>
      <c r="P27" s="84">
        <f>IF(C16&gt;INDEX(J20:J42,P26),INDEX(K20:K42,P26),P26)</f>
        <v>23</v>
      </c>
      <c r="Q27" s="153" t="str">
        <f>INDEX(A20:A42,P27)</f>
        <v>Nano-500</v>
      </c>
      <c r="R27" s="153"/>
      <c r="T27" s="16" t="s">
        <v>34</v>
      </c>
      <c r="U27" s="15">
        <f>B9/((4*U25)-U25)*1000</f>
        <v>0</v>
      </c>
    </row>
    <row r="28" spans="1:21">
      <c r="A28" s="64" t="s">
        <v>133</v>
      </c>
      <c r="B28" s="52">
        <v>12</v>
      </c>
      <c r="C28" s="64">
        <v>4</v>
      </c>
      <c r="D28" s="11">
        <v>64</v>
      </c>
      <c r="E28" s="64">
        <v>9</v>
      </c>
      <c r="F28" s="19">
        <v>10</v>
      </c>
      <c r="G28" s="53">
        <v>899</v>
      </c>
      <c r="H28" s="53">
        <v>1299</v>
      </c>
      <c r="I28" s="64">
        <v>8</v>
      </c>
      <c r="J28" s="84">
        <v>24</v>
      </c>
      <c r="K28" s="84">
        <v>9</v>
      </c>
      <c r="L28" s="84">
        <v>999</v>
      </c>
      <c r="M28" s="84">
        <v>9</v>
      </c>
      <c r="N28" s="69">
        <v>9</v>
      </c>
      <c r="O28" s="63" t="s">
        <v>185</v>
      </c>
      <c r="P28" s="84">
        <f>IF(C17&gt;INDEX(L20:L42,P27),INDEX(M20:M42,P27),P27)</f>
        <v>23</v>
      </c>
      <c r="Q28" s="153" t="str">
        <f>INDEX(A20:A42,P28)</f>
        <v>Nano-500</v>
      </c>
      <c r="R28" s="153"/>
      <c r="T28" s="2" t="s">
        <v>26</v>
      </c>
    </row>
    <row r="29" spans="1:21">
      <c r="A29" s="64" t="s">
        <v>134</v>
      </c>
      <c r="B29" s="52">
        <v>12</v>
      </c>
      <c r="C29" s="64">
        <v>4</v>
      </c>
      <c r="D29" s="11">
        <v>128</v>
      </c>
      <c r="E29" s="64">
        <v>10</v>
      </c>
      <c r="F29" s="19">
        <v>10</v>
      </c>
      <c r="G29" s="53">
        <v>899</v>
      </c>
      <c r="H29" s="53">
        <v>1299</v>
      </c>
      <c r="I29" s="64">
        <v>8</v>
      </c>
      <c r="J29" s="84">
        <v>24</v>
      </c>
      <c r="K29" s="84">
        <v>10</v>
      </c>
      <c r="L29" s="84">
        <v>999</v>
      </c>
      <c r="M29" s="84">
        <v>10</v>
      </c>
      <c r="N29" s="69">
        <v>10</v>
      </c>
      <c r="O29" s="63" t="s">
        <v>185</v>
      </c>
      <c r="P29" s="85">
        <f>IF(C17&gt;INDEX(L20:L42,P28),INDEX(M20:M42,P28),P28)</f>
        <v>23</v>
      </c>
      <c r="Q29" s="153" t="str">
        <f>INDEX(A20:A42,P29)</f>
        <v>Nano-500</v>
      </c>
      <c r="R29" s="153"/>
      <c r="T29" s="2" t="s">
        <v>27</v>
      </c>
    </row>
    <row r="30" spans="1:21">
      <c r="A30" s="64" t="s">
        <v>135</v>
      </c>
      <c r="B30" s="52">
        <v>9</v>
      </c>
      <c r="C30" s="64">
        <v>3</v>
      </c>
      <c r="D30" s="11">
        <v>64</v>
      </c>
      <c r="E30" s="64">
        <v>11</v>
      </c>
      <c r="F30" s="19">
        <v>12</v>
      </c>
      <c r="G30" s="53">
        <v>699</v>
      </c>
      <c r="H30" s="53">
        <v>999</v>
      </c>
      <c r="I30" s="64">
        <v>8</v>
      </c>
      <c r="J30" s="84">
        <v>24</v>
      </c>
      <c r="K30" s="84">
        <v>11</v>
      </c>
      <c r="L30" s="84">
        <v>999</v>
      </c>
      <c r="M30" s="84">
        <v>11</v>
      </c>
      <c r="N30" s="69">
        <v>11</v>
      </c>
      <c r="O30" s="63" t="s">
        <v>148</v>
      </c>
      <c r="P30" s="2">
        <f>P29</f>
        <v>23</v>
      </c>
      <c r="Q30" s="150" t="str">
        <f>INDEX(A20:A42,P30)</f>
        <v>Nano-500</v>
      </c>
      <c r="R30" s="152"/>
    </row>
    <row r="31" spans="1:21">
      <c r="A31" s="57" t="s">
        <v>136</v>
      </c>
      <c r="B31" s="58">
        <v>9</v>
      </c>
      <c r="C31" s="57">
        <v>3</v>
      </c>
      <c r="D31" s="59">
        <v>128</v>
      </c>
      <c r="E31" s="64">
        <v>12</v>
      </c>
      <c r="F31" s="19">
        <v>12</v>
      </c>
      <c r="G31" s="53">
        <v>699</v>
      </c>
      <c r="H31" s="53">
        <v>999</v>
      </c>
      <c r="I31" s="64">
        <v>8</v>
      </c>
      <c r="J31" s="84">
        <v>24</v>
      </c>
      <c r="K31" s="84">
        <v>12</v>
      </c>
      <c r="L31" s="84">
        <v>999</v>
      </c>
      <c r="M31" s="84">
        <v>12</v>
      </c>
      <c r="N31" s="69">
        <v>12</v>
      </c>
      <c r="O31" s="63" t="s">
        <v>149</v>
      </c>
      <c r="P31" s="144" t="str">
        <f>INDEX(E13:E16,1+IF(P20&lt;&gt;P25,1,0)+IF(AND(P20=P25,P25&lt;&gt;P27),1,0)+IF(P25&lt;&gt;P27,1,0)+IF(P27&lt;&gt;P29,1,0)+IF(AND(P25=P27,P27&lt;&gt;P29),1,0)  )</f>
        <v>Based on Storage Required</v>
      </c>
      <c r="Q31" s="145"/>
      <c r="R31" s="146"/>
    </row>
    <row r="32" spans="1:21">
      <c r="A32" s="19" t="s">
        <v>137</v>
      </c>
      <c r="B32" s="60">
        <v>6</v>
      </c>
      <c r="C32" s="19">
        <v>1</v>
      </c>
      <c r="D32" s="12">
        <v>64</v>
      </c>
      <c r="E32" s="64">
        <v>13</v>
      </c>
      <c r="F32" s="64">
        <v>15</v>
      </c>
      <c r="G32" s="53">
        <v>499</v>
      </c>
      <c r="H32" s="53">
        <v>699</v>
      </c>
      <c r="I32" s="64">
        <v>8</v>
      </c>
      <c r="J32" s="84">
        <v>16</v>
      </c>
      <c r="K32" s="84">
        <v>15</v>
      </c>
      <c r="L32" s="84">
        <v>999</v>
      </c>
      <c r="M32" s="84">
        <v>13</v>
      </c>
      <c r="N32" s="69">
        <v>13</v>
      </c>
      <c r="O32" s="63" t="s">
        <v>150</v>
      </c>
      <c r="P32" s="2">
        <f>IF(ISNUMBER(SEARCH("*Hybrid*",Q25)),INDEX(L4:L16,INDEX(C20:C42,P30)+1),INDEX(J4:J16,INDEX(C20:C42,P30)+1))</f>
        <v>10000</v>
      </c>
      <c r="Q32" s="2">
        <f>IF(ISNUMBER(SEARCH("*Hybrid*",Q25)),INDEX(M4:M16,INDEX(C20:C42,P30)+1),INDEX(K4:K16,INDEX(C20:C42,P30)+1))</f>
        <v>5000</v>
      </c>
    </row>
    <row r="33" spans="1:22">
      <c r="A33" s="47" t="s">
        <v>138</v>
      </c>
      <c r="B33" s="61">
        <v>6</v>
      </c>
      <c r="C33" s="47">
        <v>2</v>
      </c>
      <c r="D33" s="62">
        <v>64</v>
      </c>
      <c r="E33" s="64">
        <v>14</v>
      </c>
      <c r="F33" s="19">
        <v>15</v>
      </c>
      <c r="G33" s="53">
        <v>499</v>
      </c>
      <c r="H33" s="53">
        <v>699</v>
      </c>
      <c r="I33" s="64">
        <v>8</v>
      </c>
      <c r="J33" s="84">
        <v>24</v>
      </c>
      <c r="K33" s="84">
        <v>14</v>
      </c>
      <c r="L33" s="84">
        <v>999</v>
      </c>
      <c r="M33" s="84">
        <v>14</v>
      </c>
      <c r="N33" s="69">
        <v>14</v>
      </c>
      <c r="O33" s="65" t="s">
        <v>151</v>
      </c>
      <c r="P33" s="18">
        <f>INDEX(G20:G42,P30)</f>
        <v>69</v>
      </c>
      <c r="Q33" s="18">
        <f>INDEX(H20:H42,P30)</f>
        <v>169</v>
      </c>
      <c r="T33" s="51" t="s">
        <v>17</v>
      </c>
      <c r="U33" s="51" t="s">
        <v>155</v>
      </c>
      <c r="V33" s="51" t="s">
        <v>155</v>
      </c>
    </row>
    <row r="34" spans="1:22">
      <c r="A34" s="64" t="s">
        <v>139</v>
      </c>
      <c r="B34" s="52">
        <v>6</v>
      </c>
      <c r="C34" s="64">
        <v>2</v>
      </c>
      <c r="D34" s="11">
        <v>128</v>
      </c>
      <c r="E34" s="64">
        <v>15</v>
      </c>
      <c r="F34" s="19">
        <v>15</v>
      </c>
      <c r="G34" s="53">
        <v>499</v>
      </c>
      <c r="H34" s="53">
        <v>699</v>
      </c>
      <c r="I34" s="64">
        <v>8</v>
      </c>
      <c r="J34" s="84">
        <v>24</v>
      </c>
      <c r="K34" s="84">
        <v>15</v>
      </c>
      <c r="L34" s="84">
        <v>999</v>
      </c>
      <c r="M34" s="84">
        <v>15</v>
      </c>
      <c r="N34" s="69">
        <v>15</v>
      </c>
      <c r="O34" s="63" t="s">
        <v>152</v>
      </c>
      <c r="P34" s="11">
        <f>INDEX(D20:D42,P30)</f>
        <v>16</v>
      </c>
      <c r="T34" s="64">
        <v>35</v>
      </c>
      <c r="U34" s="64">
        <v>1</v>
      </c>
      <c r="V34" s="64">
        <v>1</v>
      </c>
    </row>
    <row r="35" spans="1:22">
      <c r="A35" s="64" t="s">
        <v>140</v>
      </c>
      <c r="B35" s="52">
        <v>4</v>
      </c>
      <c r="C35" s="64">
        <v>1</v>
      </c>
      <c r="D35" s="11">
        <v>32</v>
      </c>
      <c r="E35" s="64">
        <v>14</v>
      </c>
      <c r="F35" s="19">
        <v>14</v>
      </c>
      <c r="G35" s="53">
        <v>399</v>
      </c>
      <c r="H35" s="53">
        <v>499</v>
      </c>
      <c r="I35" s="64">
        <v>4</v>
      </c>
      <c r="J35" s="84">
        <v>3</v>
      </c>
      <c r="K35" s="84">
        <v>14</v>
      </c>
      <c r="L35" s="84">
        <v>10</v>
      </c>
      <c r="M35" s="84">
        <v>14</v>
      </c>
      <c r="N35" s="69">
        <v>16</v>
      </c>
      <c r="O35" s="63" t="s">
        <v>153</v>
      </c>
      <c r="P35" s="11">
        <f>INDEX(B20:B42,P30)*1000</f>
        <v>400</v>
      </c>
      <c r="T35" s="64">
        <v>29</v>
      </c>
      <c r="U35" s="64">
        <v>2</v>
      </c>
      <c r="V35" s="64">
        <v>2</v>
      </c>
    </row>
    <row r="36" spans="1:22">
      <c r="A36" s="64" t="s">
        <v>141</v>
      </c>
      <c r="B36" s="52">
        <v>3</v>
      </c>
      <c r="C36" s="64">
        <v>1</v>
      </c>
      <c r="D36" s="11">
        <v>64</v>
      </c>
      <c r="E36" s="64">
        <v>17</v>
      </c>
      <c r="F36" s="19">
        <v>18</v>
      </c>
      <c r="G36" s="53">
        <v>299</v>
      </c>
      <c r="H36" s="53">
        <v>399</v>
      </c>
      <c r="I36" s="64">
        <v>8</v>
      </c>
      <c r="J36" s="84">
        <v>24</v>
      </c>
      <c r="K36" s="84">
        <v>17</v>
      </c>
      <c r="L36" s="84">
        <v>999</v>
      </c>
      <c r="M36" s="84">
        <v>17</v>
      </c>
      <c r="N36" s="69">
        <v>17</v>
      </c>
      <c r="O36" s="63" t="s">
        <v>154</v>
      </c>
      <c r="P36" s="2">
        <f>INDEX(I20:I42,P30)</f>
        <v>2</v>
      </c>
      <c r="T36" s="64">
        <v>23</v>
      </c>
      <c r="U36" s="64">
        <v>3</v>
      </c>
      <c r="V36" s="64">
        <v>3</v>
      </c>
    </row>
    <row r="37" spans="1:22">
      <c r="A37" s="64" t="s">
        <v>142</v>
      </c>
      <c r="B37" s="52">
        <v>3</v>
      </c>
      <c r="C37" s="64">
        <v>1</v>
      </c>
      <c r="D37" s="11">
        <v>128</v>
      </c>
      <c r="E37" s="64">
        <v>18</v>
      </c>
      <c r="F37" s="19">
        <v>18</v>
      </c>
      <c r="G37" s="53">
        <v>299</v>
      </c>
      <c r="H37" s="53">
        <v>399</v>
      </c>
      <c r="I37" s="64">
        <v>8</v>
      </c>
      <c r="J37" s="84">
        <v>24</v>
      </c>
      <c r="K37" s="84">
        <v>18</v>
      </c>
      <c r="L37" s="84">
        <v>999</v>
      </c>
      <c r="M37" s="84">
        <v>18</v>
      </c>
      <c r="N37" s="69">
        <v>18</v>
      </c>
      <c r="T37" s="64">
        <v>17.100000000000001</v>
      </c>
      <c r="U37" s="64">
        <v>5</v>
      </c>
      <c r="V37" s="64">
        <v>4</v>
      </c>
    </row>
    <row r="38" spans="1:22">
      <c r="A38" s="19" t="s">
        <v>20</v>
      </c>
      <c r="B38" s="55">
        <v>2</v>
      </c>
      <c r="C38" s="54">
        <v>1</v>
      </c>
      <c r="D38" s="56">
        <v>32</v>
      </c>
      <c r="E38" s="64">
        <v>17</v>
      </c>
      <c r="F38" s="64">
        <v>17</v>
      </c>
      <c r="G38" s="53">
        <v>199</v>
      </c>
      <c r="H38" s="53">
        <v>299</v>
      </c>
      <c r="I38" s="64">
        <v>4</v>
      </c>
      <c r="J38" s="84">
        <v>3</v>
      </c>
      <c r="K38" s="84">
        <v>17</v>
      </c>
      <c r="L38" s="84">
        <v>10</v>
      </c>
      <c r="M38" s="84">
        <v>17</v>
      </c>
      <c r="N38" s="69">
        <v>19</v>
      </c>
      <c r="T38" s="64">
        <v>14.2</v>
      </c>
      <c r="U38" s="64">
        <v>6</v>
      </c>
      <c r="V38" s="64">
        <v>6</v>
      </c>
    </row>
    <row r="39" spans="1:22">
      <c r="A39" s="64" t="s">
        <v>163</v>
      </c>
      <c r="B39" s="52">
        <v>1.8</v>
      </c>
      <c r="C39" s="64">
        <v>0</v>
      </c>
      <c r="D39" s="11">
        <v>16</v>
      </c>
      <c r="E39" s="64">
        <v>19</v>
      </c>
      <c r="F39" s="19">
        <v>17</v>
      </c>
      <c r="G39" s="53">
        <v>199</v>
      </c>
      <c r="H39" s="53">
        <v>299</v>
      </c>
      <c r="I39" s="64">
        <v>2</v>
      </c>
      <c r="J39" s="84">
        <v>2</v>
      </c>
      <c r="K39" s="84">
        <v>19</v>
      </c>
      <c r="L39" s="84">
        <v>3</v>
      </c>
      <c r="M39" s="84">
        <v>19</v>
      </c>
      <c r="N39" s="69">
        <v>20</v>
      </c>
      <c r="T39" s="64">
        <v>11.3</v>
      </c>
      <c r="U39" s="64">
        <v>9</v>
      </c>
      <c r="V39" s="64">
        <v>8</v>
      </c>
    </row>
    <row r="40" spans="1:22">
      <c r="A40" s="64" t="s">
        <v>143</v>
      </c>
      <c r="B40" s="52">
        <v>0.8</v>
      </c>
      <c r="C40" s="64">
        <v>0</v>
      </c>
      <c r="D40" s="11">
        <v>16</v>
      </c>
      <c r="E40" s="64">
        <v>22</v>
      </c>
      <c r="F40" s="19">
        <v>20</v>
      </c>
      <c r="G40" s="53">
        <v>99</v>
      </c>
      <c r="H40" s="53">
        <v>199</v>
      </c>
      <c r="I40" s="64">
        <v>2</v>
      </c>
      <c r="J40" s="84">
        <v>0</v>
      </c>
      <c r="K40" s="84">
        <v>22</v>
      </c>
      <c r="L40" s="84">
        <v>3</v>
      </c>
      <c r="M40" s="84">
        <v>19</v>
      </c>
      <c r="N40" s="69">
        <v>21</v>
      </c>
      <c r="T40" s="64">
        <v>8.4</v>
      </c>
      <c r="U40" s="64">
        <v>11</v>
      </c>
      <c r="V40" s="64">
        <v>11</v>
      </c>
    </row>
    <row r="41" spans="1:22">
      <c r="A41" s="64" t="s">
        <v>21</v>
      </c>
      <c r="B41" s="52">
        <v>1</v>
      </c>
      <c r="C41" s="64">
        <v>0</v>
      </c>
      <c r="D41" s="11">
        <v>16</v>
      </c>
      <c r="E41" s="64">
        <v>17</v>
      </c>
      <c r="F41" s="19">
        <v>19</v>
      </c>
      <c r="G41" s="53">
        <v>99</v>
      </c>
      <c r="H41" s="53">
        <v>199</v>
      </c>
      <c r="I41" s="64">
        <v>4</v>
      </c>
      <c r="J41" s="84">
        <v>3</v>
      </c>
      <c r="K41" s="84">
        <v>19</v>
      </c>
      <c r="L41" s="84">
        <v>10</v>
      </c>
      <c r="M41" s="84">
        <v>19</v>
      </c>
      <c r="N41" s="69">
        <v>22</v>
      </c>
      <c r="T41" s="64">
        <v>5.6</v>
      </c>
      <c r="U41" s="64">
        <v>14</v>
      </c>
      <c r="V41" s="64">
        <v>13</v>
      </c>
    </row>
    <row r="42" spans="1:22">
      <c r="A42" s="64" t="s">
        <v>144</v>
      </c>
      <c r="B42" s="52">
        <v>0.4</v>
      </c>
      <c r="C42" s="64">
        <v>0</v>
      </c>
      <c r="D42" s="11">
        <v>16</v>
      </c>
      <c r="E42" s="64">
        <v>22</v>
      </c>
      <c r="F42" s="19">
        <v>20</v>
      </c>
      <c r="G42" s="53">
        <v>69</v>
      </c>
      <c r="H42" s="53">
        <v>169</v>
      </c>
      <c r="I42" s="64">
        <v>2</v>
      </c>
      <c r="J42" s="84">
        <v>0</v>
      </c>
      <c r="K42" s="84">
        <v>22</v>
      </c>
      <c r="L42" s="84">
        <v>3</v>
      </c>
      <c r="M42" s="84">
        <v>22</v>
      </c>
      <c r="N42" s="69">
        <v>23</v>
      </c>
      <c r="T42" s="64">
        <v>3.7</v>
      </c>
      <c r="U42" s="64">
        <v>16</v>
      </c>
      <c r="V42" s="64">
        <v>16</v>
      </c>
    </row>
    <row r="43" spans="1:22">
      <c r="N43" s="69"/>
      <c r="T43" s="64">
        <v>2.8</v>
      </c>
      <c r="U43" s="64">
        <v>17</v>
      </c>
      <c r="V43" s="64">
        <v>17</v>
      </c>
    </row>
    <row r="44" spans="1:22">
      <c r="N44" s="69"/>
      <c r="T44" s="64">
        <v>1.7</v>
      </c>
      <c r="U44" s="64">
        <v>20</v>
      </c>
      <c r="V44" s="64">
        <v>20</v>
      </c>
    </row>
    <row r="45" spans="1:22">
      <c r="N45" s="69"/>
      <c r="T45" s="64">
        <v>0.8</v>
      </c>
      <c r="U45" s="64">
        <v>21</v>
      </c>
      <c r="V45" s="64">
        <v>21</v>
      </c>
    </row>
    <row r="46" spans="1:22">
      <c r="N46" s="69"/>
      <c r="T46" s="64">
        <v>0.38</v>
      </c>
      <c r="U46" s="64">
        <v>23</v>
      </c>
      <c r="V46" s="64">
        <v>23</v>
      </c>
    </row>
    <row r="47" spans="1:22">
      <c r="N47" s="69"/>
    </row>
    <row r="48" spans="1:22">
      <c r="N48" s="69"/>
    </row>
    <row r="49" spans="10:10">
      <c r="J49" s="69"/>
    </row>
  </sheetData>
  <sheetProtection algorithmName="SHA-512" hashValue="y7aR9+J75Pi27t4Hw+Cx7EcjIz5u6Z/pnmEoxiE7CXgcASw/sU9vUfAkOLu7rrtX6rhsFp/+p5lv1PJvrn2QgA==" saltValue="+2QnBu9aLNcX61Yjpv1P+A==" spinCount="100000" sheet="1" objects="1" scenarios="1" selectLockedCells="1"/>
  <mergeCells count="24">
    <mergeCell ref="Q29:R29"/>
    <mergeCell ref="T19:U19"/>
    <mergeCell ref="F2:G2"/>
    <mergeCell ref="I2:M2"/>
    <mergeCell ref="Q20:R20"/>
    <mergeCell ref="O2:R2"/>
    <mergeCell ref="O10:Q10"/>
    <mergeCell ref="E17:G17"/>
    <mergeCell ref="P31:R31"/>
    <mergeCell ref="E12:G12"/>
    <mergeCell ref="E13:G13"/>
    <mergeCell ref="E14:G14"/>
    <mergeCell ref="E15:G15"/>
    <mergeCell ref="Q30:R30"/>
    <mergeCell ref="Q21:R21"/>
    <mergeCell ref="Q22:R22"/>
    <mergeCell ref="Q23:R23"/>
    <mergeCell ref="Q24:R24"/>
    <mergeCell ref="Q25:R25"/>
    <mergeCell ref="O19:R19"/>
    <mergeCell ref="Q26:R26"/>
    <mergeCell ref="Q28:R28"/>
    <mergeCell ref="Q27:R27"/>
    <mergeCell ref="E16:G16"/>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Terms of Use</vt:lpstr>
      <vt:lpstr>Usage</vt:lpstr>
      <vt:lpstr>BDR Sizing Workbook</vt:lpstr>
      <vt:lpstr>Best Practice</vt:lpstr>
      <vt:lpstr>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JCrystal</dc:creator>
  <cp:lastModifiedBy>Julie Smith</cp:lastModifiedBy>
  <dcterms:created xsi:type="dcterms:W3CDTF">2016-06-29T19:53:33Z</dcterms:created>
  <dcterms:modified xsi:type="dcterms:W3CDTF">2018-08-27T16:39:50Z</dcterms:modified>
</cp:coreProperties>
</file>